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ED71D762-48C6-4205-BE29-6F06C6346480}" xr6:coauthVersionLast="47" xr6:coauthVersionMax="47" xr10:uidLastSave="{00000000-0000-0000-0000-000000000000}"/>
  <bookViews>
    <workbookView xWindow="-108" yWindow="-108" windowWidth="23256" windowHeight="12456" xr2:uid="{9CD84F16-D25F-41AE-A40D-BB3BA853D5E6}"/>
  </bookViews>
  <sheets>
    <sheet name="October Statistics" sheetId="2" r:id="rId1"/>
    <sheet name="Balance Sheet Sept 25" sheetId="3" r:id="rId2"/>
    <sheet name="Budget vs. Actuals Sept 25" sheetId="4" r:id="rId3"/>
    <sheet name="Expenses by Vendor Sept 25" sheetId="5" r:id="rId4"/>
    <sheet name="Credit Card September 2025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0" i="4" l="1"/>
  <c r="AW100" i="4" s="1"/>
  <c r="AT100" i="4"/>
  <c r="AQ100" i="4"/>
  <c r="AS100" i="4" s="1"/>
  <c r="AP100" i="4"/>
  <c r="AL100" i="4"/>
  <c r="AH100" i="4"/>
  <c r="AA100" i="4"/>
  <c r="AC100" i="4" s="1"/>
  <c r="Z100" i="4"/>
  <c r="AV99" i="4"/>
  <c r="AU99" i="4"/>
  <c r="AW99" i="4" s="1"/>
  <c r="AR99" i="4"/>
  <c r="AQ99" i="4"/>
  <c r="AS99" i="4" s="1"/>
  <c r="AM99" i="4"/>
  <c r="AI99" i="4"/>
  <c r="AK99" i="4" s="1"/>
  <c r="AH99" i="4"/>
  <c r="AF99" i="4"/>
  <c r="AE99" i="4"/>
  <c r="AG99" i="4" s="1"/>
  <c r="AD99" i="4"/>
  <c r="AB99" i="4"/>
  <c r="AA99" i="4"/>
  <c r="Z99" i="4"/>
  <c r="AC99" i="4" s="1"/>
  <c r="W99" i="4"/>
  <c r="V99" i="4"/>
  <c r="U99" i="4"/>
  <c r="T99" i="4"/>
  <c r="S99" i="4"/>
  <c r="R99" i="4"/>
  <c r="O99" i="4"/>
  <c r="N99" i="4"/>
  <c r="L99" i="4"/>
  <c r="K99" i="4"/>
  <c r="M99" i="4" s="1"/>
  <c r="J99" i="4"/>
  <c r="H99" i="4"/>
  <c r="G99" i="4"/>
  <c r="F99" i="4"/>
  <c r="I99" i="4" s="1"/>
  <c r="C99" i="4"/>
  <c r="E99" i="4" s="1"/>
  <c r="B99" i="4"/>
  <c r="AX98" i="4"/>
  <c r="AU98" i="4"/>
  <c r="AW98" i="4" s="1"/>
  <c r="AQ98" i="4"/>
  <c r="AM98" i="4"/>
  <c r="AO98" i="4" s="1"/>
  <c r="AK98" i="4"/>
  <c r="AI98" i="4"/>
  <c r="AH98" i="4"/>
  <c r="AJ98" i="4" s="1"/>
  <c r="AE98" i="4"/>
  <c r="AG98" i="4" s="1"/>
  <c r="AD98" i="4"/>
  <c r="AC98" i="4"/>
  <c r="AB98" i="4"/>
  <c r="AA98" i="4"/>
  <c r="Z98" i="4"/>
  <c r="X98" i="4"/>
  <c r="W98" i="4"/>
  <c r="Y98" i="4" s="1"/>
  <c r="V98" i="4"/>
  <c r="U98" i="4"/>
  <c r="S98" i="4"/>
  <c r="R98" i="4"/>
  <c r="T98" i="4" s="1"/>
  <c r="O98" i="4"/>
  <c r="N98" i="4"/>
  <c r="L98" i="4"/>
  <c r="K98" i="4"/>
  <c r="M98" i="4" s="1"/>
  <c r="G98" i="4"/>
  <c r="G100" i="4" s="1"/>
  <c r="F98" i="4"/>
  <c r="C98" i="4"/>
  <c r="C100" i="4" s="1"/>
  <c r="B98" i="4"/>
  <c r="D98" i="4" s="1"/>
  <c r="AW97" i="4"/>
  <c r="AV97" i="4"/>
  <c r="AU97" i="4"/>
  <c r="AR97" i="4"/>
  <c r="AQ97" i="4"/>
  <c r="AS97" i="4" s="1"/>
  <c r="AO97" i="4"/>
  <c r="AN97" i="4"/>
  <c r="AM97" i="4"/>
  <c r="AK97" i="4"/>
  <c r="AI97" i="4"/>
  <c r="AH97" i="4"/>
  <c r="AG97" i="4"/>
  <c r="AF97" i="4"/>
  <c r="AE97" i="4"/>
  <c r="AD97" i="4"/>
  <c r="AC97" i="4"/>
  <c r="AA97" i="4"/>
  <c r="AB97" i="4" s="1"/>
  <c r="X97" i="4"/>
  <c r="W97" i="4"/>
  <c r="V97" i="4"/>
  <c r="Y97" i="4" s="1"/>
  <c r="U97" i="4"/>
  <c r="S97" i="4"/>
  <c r="R97" i="4"/>
  <c r="Q97" i="4"/>
  <c r="P97" i="4"/>
  <c r="O97" i="4"/>
  <c r="N97" i="4"/>
  <c r="L97" i="4"/>
  <c r="K97" i="4"/>
  <c r="J97" i="4"/>
  <c r="J100" i="4" s="1"/>
  <c r="H97" i="4"/>
  <c r="G97" i="4"/>
  <c r="I97" i="4" s="1"/>
  <c r="F97" i="4"/>
  <c r="D97" i="4"/>
  <c r="C97" i="4"/>
  <c r="B97" i="4"/>
  <c r="AY96" i="4"/>
  <c r="BA96" i="4" s="1"/>
  <c r="AU96" i="4"/>
  <c r="AW96" i="4" s="1"/>
  <c r="AS96" i="4"/>
  <c r="AQ96" i="4"/>
  <c r="AR96" i="4" s="1"/>
  <c r="AO96" i="4"/>
  <c r="AN96" i="4"/>
  <c r="AM96" i="4"/>
  <c r="AK96" i="4"/>
  <c r="AI96" i="4"/>
  <c r="AH96" i="4"/>
  <c r="AJ96" i="4" s="1"/>
  <c r="AE96" i="4"/>
  <c r="AD96" i="4"/>
  <c r="AA96" i="4"/>
  <c r="AC96" i="4" s="1"/>
  <c r="W96" i="4"/>
  <c r="V96" i="4"/>
  <c r="V100" i="4" s="1"/>
  <c r="S96" i="4"/>
  <c r="R96" i="4"/>
  <c r="AX96" i="4" s="1"/>
  <c r="AZ96" i="4" s="1"/>
  <c r="P96" i="4"/>
  <c r="O96" i="4"/>
  <c r="Q96" i="4" s="1"/>
  <c r="K96" i="4"/>
  <c r="J96" i="4"/>
  <c r="G96" i="4"/>
  <c r="I96" i="4" s="1"/>
  <c r="F96" i="4"/>
  <c r="C96" i="4"/>
  <c r="B96" i="4"/>
  <c r="AY95" i="4"/>
  <c r="BA95" i="4" s="1"/>
  <c r="AX95" i="4"/>
  <c r="AZ95" i="4" s="1"/>
  <c r="AW95" i="4"/>
  <c r="AV95" i="4"/>
  <c r="AS95" i="4"/>
  <c r="AR95" i="4"/>
  <c r="AO95" i="4"/>
  <c r="AN95" i="4"/>
  <c r="AK95" i="4"/>
  <c r="AJ95" i="4"/>
  <c r="AG95" i="4"/>
  <c r="AF95" i="4"/>
  <c r="AC95" i="4"/>
  <c r="AB95" i="4"/>
  <c r="Y95" i="4"/>
  <c r="X95" i="4"/>
  <c r="U95" i="4"/>
  <c r="T95" i="4"/>
  <c r="Q95" i="4"/>
  <c r="P95" i="4"/>
  <c r="M95" i="4"/>
  <c r="L95" i="4"/>
  <c r="I95" i="4"/>
  <c r="H95" i="4"/>
  <c r="E95" i="4"/>
  <c r="D95" i="4"/>
  <c r="AT94" i="4"/>
  <c r="AP94" i="4"/>
  <c r="AL94" i="4"/>
  <c r="O94" i="4"/>
  <c r="Q94" i="4" s="1"/>
  <c r="K94" i="4"/>
  <c r="F94" i="4"/>
  <c r="C94" i="4"/>
  <c r="B94" i="4"/>
  <c r="AU93" i="4"/>
  <c r="AV93" i="4" s="1"/>
  <c r="AR93" i="4"/>
  <c r="AQ93" i="4"/>
  <c r="AS93" i="4" s="1"/>
  <c r="AO93" i="4"/>
  <c r="AM93" i="4"/>
  <c r="AN93" i="4" s="1"/>
  <c r="AI93" i="4"/>
  <c r="AH93" i="4"/>
  <c r="AJ93" i="4" s="1"/>
  <c r="AE93" i="4"/>
  <c r="AD93" i="4"/>
  <c r="AF93" i="4" s="1"/>
  <c r="AA93" i="4"/>
  <c r="Z93" i="4"/>
  <c r="AB93" i="4" s="1"/>
  <c r="W93" i="4"/>
  <c r="Y93" i="4" s="1"/>
  <c r="V93" i="4"/>
  <c r="X93" i="4" s="1"/>
  <c r="T93" i="4"/>
  <c r="S93" i="4"/>
  <c r="R93" i="4"/>
  <c r="U93" i="4" s="1"/>
  <c r="O93" i="4"/>
  <c r="Q93" i="4" s="1"/>
  <c r="N93" i="4"/>
  <c r="K93" i="4"/>
  <c r="M93" i="4" s="1"/>
  <c r="J93" i="4"/>
  <c r="G93" i="4"/>
  <c r="F93" i="4"/>
  <c r="D93" i="4"/>
  <c r="C93" i="4"/>
  <c r="B93" i="4"/>
  <c r="AU92" i="4"/>
  <c r="AR92" i="4"/>
  <c r="AQ92" i="4"/>
  <c r="AS92" i="4" s="1"/>
  <c r="AO92" i="4"/>
  <c r="AN92" i="4"/>
  <c r="AM92" i="4"/>
  <c r="AJ92" i="4"/>
  <c r="AI92" i="4"/>
  <c r="AK92" i="4" s="1"/>
  <c r="AF92" i="4"/>
  <c r="AE92" i="4"/>
  <c r="AG92" i="4" s="1"/>
  <c r="AA92" i="4"/>
  <c r="W92" i="4"/>
  <c r="Y92" i="4" s="1"/>
  <c r="V92" i="4"/>
  <c r="AX92" i="4" s="1"/>
  <c r="S92" i="4"/>
  <c r="U92" i="4" s="1"/>
  <c r="Q92" i="4"/>
  <c r="O92" i="4"/>
  <c r="P92" i="4" s="1"/>
  <c r="L92" i="4"/>
  <c r="K92" i="4"/>
  <c r="M92" i="4" s="1"/>
  <c r="I92" i="4"/>
  <c r="G92" i="4"/>
  <c r="H92" i="4" s="1"/>
  <c r="D92" i="4"/>
  <c r="C92" i="4"/>
  <c r="E92" i="4" s="1"/>
  <c r="AX91" i="4"/>
  <c r="AV91" i="4"/>
  <c r="AU91" i="4"/>
  <c r="AW91" i="4" s="1"/>
  <c r="AR91" i="4"/>
  <c r="AQ91" i="4"/>
  <c r="AS91" i="4" s="1"/>
  <c r="AO91" i="4"/>
  <c r="AM91" i="4"/>
  <c r="AN91" i="4" s="1"/>
  <c r="AK91" i="4"/>
  <c r="AJ91" i="4"/>
  <c r="AI91" i="4"/>
  <c r="AG91" i="4"/>
  <c r="AE91" i="4"/>
  <c r="AF91" i="4" s="1"/>
  <c r="AC91" i="4"/>
  <c r="AB91" i="4"/>
  <c r="AA91" i="4"/>
  <c r="X91" i="4"/>
  <c r="W91" i="4"/>
  <c r="Y91" i="4" s="1"/>
  <c r="S91" i="4"/>
  <c r="Q91" i="4"/>
  <c r="P91" i="4"/>
  <c r="O91" i="4"/>
  <c r="K91" i="4"/>
  <c r="M91" i="4" s="1"/>
  <c r="I91" i="4"/>
  <c r="G91" i="4"/>
  <c r="F91" i="4"/>
  <c r="H91" i="4" s="1"/>
  <c r="C91" i="4"/>
  <c r="AY90" i="4"/>
  <c r="BA90" i="4" s="1"/>
  <c r="AW90" i="4"/>
  <c r="AU90" i="4"/>
  <c r="AV90" i="4" s="1"/>
  <c r="AQ90" i="4"/>
  <c r="AN90" i="4"/>
  <c r="AM90" i="4"/>
  <c r="AO90" i="4" s="1"/>
  <c r="AI90" i="4"/>
  <c r="AI94" i="4" s="1"/>
  <c r="AH90" i="4"/>
  <c r="AE90" i="4"/>
  <c r="AA90" i="4"/>
  <c r="AC90" i="4" s="1"/>
  <c r="Z90" i="4"/>
  <c r="AB90" i="4" s="1"/>
  <c r="W90" i="4"/>
  <c r="V90" i="4"/>
  <c r="AX90" i="4" s="1"/>
  <c r="U90" i="4"/>
  <c r="T90" i="4"/>
  <c r="S90" i="4"/>
  <c r="Q90" i="4"/>
  <c r="P90" i="4"/>
  <c r="O90" i="4"/>
  <c r="N90" i="4"/>
  <c r="K90" i="4"/>
  <c r="M90" i="4" s="1"/>
  <c r="J90" i="4"/>
  <c r="L90" i="4" s="1"/>
  <c r="I90" i="4"/>
  <c r="G90" i="4"/>
  <c r="H90" i="4" s="1"/>
  <c r="C90" i="4"/>
  <c r="AU89" i="4"/>
  <c r="AS89" i="4"/>
  <c r="AR89" i="4"/>
  <c r="AQ89" i="4"/>
  <c r="AM89" i="4"/>
  <c r="AN89" i="4" s="1"/>
  <c r="AJ89" i="4"/>
  <c r="AI89" i="4"/>
  <c r="AH89" i="4"/>
  <c r="AH94" i="4" s="1"/>
  <c r="AJ94" i="4" s="1"/>
  <c r="AG89" i="4"/>
  <c r="AE89" i="4"/>
  <c r="AD89" i="4"/>
  <c r="AA89" i="4"/>
  <c r="Z89" i="4"/>
  <c r="X89" i="4"/>
  <c r="W89" i="4"/>
  <c r="V89" i="4"/>
  <c r="T89" i="4"/>
  <c r="S89" i="4"/>
  <c r="R89" i="4"/>
  <c r="R94" i="4" s="1"/>
  <c r="P89" i="4"/>
  <c r="O89" i="4"/>
  <c r="N89" i="4"/>
  <c r="N94" i="4" s="1"/>
  <c r="K89" i="4"/>
  <c r="J89" i="4"/>
  <c r="I89" i="4"/>
  <c r="H89" i="4"/>
  <c r="G89" i="4"/>
  <c r="F89" i="4"/>
  <c r="D89" i="4"/>
  <c r="C89" i="4"/>
  <c r="B89" i="4"/>
  <c r="AZ88" i="4"/>
  <c r="AY88" i="4"/>
  <c r="BA88" i="4" s="1"/>
  <c r="AX88" i="4"/>
  <c r="AW88" i="4"/>
  <c r="AV88" i="4"/>
  <c r="AS88" i="4"/>
  <c r="AR88" i="4"/>
  <c r="AO88" i="4"/>
  <c r="AN88" i="4"/>
  <c r="AK88" i="4"/>
  <c r="AJ88" i="4"/>
  <c r="AG88" i="4"/>
  <c r="AF88" i="4"/>
  <c r="AC88" i="4"/>
  <c r="AB88" i="4"/>
  <c r="Y88" i="4"/>
  <c r="X88" i="4"/>
  <c r="U88" i="4"/>
  <c r="T88" i="4"/>
  <c r="Q88" i="4"/>
  <c r="P88" i="4"/>
  <c r="M88" i="4"/>
  <c r="L88" i="4"/>
  <c r="I88" i="4"/>
  <c r="H88" i="4"/>
  <c r="E88" i="4"/>
  <c r="D88" i="4"/>
  <c r="AU87" i="4"/>
  <c r="AV87" i="4" s="1"/>
  <c r="AQ87" i="4"/>
  <c r="AO87" i="4"/>
  <c r="AN87" i="4"/>
  <c r="AM87" i="4"/>
  <c r="AI87" i="4"/>
  <c r="AK87" i="4" s="1"/>
  <c r="AF87" i="4"/>
  <c r="AE87" i="4"/>
  <c r="AG87" i="4" s="1"/>
  <c r="AD87" i="4"/>
  <c r="AA87" i="4"/>
  <c r="Y87" i="4"/>
  <c r="X87" i="4"/>
  <c r="W87" i="4"/>
  <c r="V87" i="4"/>
  <c r="S87" i="4"/>
  <c r="R87" i="4"/>
  <c r="T87" i="4" s="1"/>
  <c r="O87" i="4"/>
  <c r="N87" i="4"/>
  <c r="P87" i="4" s="1"/>
  <c r="M87" i="4"/>
  <c r="K87" i="4"/>
  <c r="J87" i="4"/>
  <c r="L87" i="4" s="1"/>
  <c r="H87" i="4"/>
  <c r="G87" i="4"/>
  <c r="I87" i="4" s="1"/>
  <c r="F87" i="4"/>
  <c r="C87" i="4"/>
  <c r="B87" i="4"/>
  <c r="AX87" i="4" s="1"/>
  <c r="AT86" i="4"/>
  <c r="AP86" i="4"/>
  <c r="AL86" i="4"/>
  <c r="AI86" i="4"/>
  <c r="Z86" i="4"/>
  <c r="J86" i="4"/>
  <c r="B86" i="4"/>
  <c r="AU85" i="4"/>
  <c r="AW85" i="4" s="1"/>
  <c r="AS85" i="4"/>
  <c r="AR85" i="4"/>
  <c r="AQ85" i="4"/>
  <c r="AM85" i="4"/>
  <c r="AN85" i="4" s="1"/>
  <c r="AK85" i="4"/>
  <c r="AI85" i="4"/>
  <c r="AH85" i="4"/>
  <c r="AJ85" i="4" s="1"/>
  <c r="AF85" i="4"/>
  <c r="AE85" i="4"/>
  <c r="AG85" i="4" s="1"/>
  <c r="AB85" i="4"/>
  <c r="AA85" i="4"/>
  <c r="AC85" i="4" s="1"/>
  <c r="Z85" i="4"/>
  <c r="Y85" i="4"/>
  <c r="X85" i="4"/>
  <c r="W85" i="4"/>
  <c r="V85" i="4"/>
  <c r="AX85" i="4" s="1"/>
  <c r="S85" i="4"/>
  <c r="T85" i="4" s="1"/>
  <c r="O85" i="4"/>
  <c r="P85" i="4" s="1"/>
  <c r="K85" i="4"/>
  <c r="H85" i="4"/>
  <c r="G85" i="4"/>
  <c r="I85" i="4" s="1"/>
  <c r="D85" i="4"/>
  <c r="C85" i="4"/>
  <c r="E85" i="4" s="1"/>
  <c r="AW84" i="4"/>
  <c r="AV84" i="4"/>
  <c r="AU84" i="4"/>
  <c r="AR84" i="4"/>
  <c r="AQ84" i="4"/>
  <c r="AQ86" i="4" s="1"/>
  <c r="AS86" i="4" s="1"/>
  <c r="AO84" i="4"/>
  <c r="AN84" i="4"/>
  <c r="AM84" i="4"/>
  <c r="AI84" i="4"/>
  <c r="AK84" i="4" s="1"/>
  <c r="AH84" i="4"/>
  <c r="AE84" i="4"/>
  <c r="AD84" i="4"/>
  <c r="AF84" i="4" s="1"/>
  <c r="AC84" i="4"/>
  <c r="AA84" i="4"/>
  <c r="AB84" i="4" s="1"/>
  <c r="Z84" i="4"/>
  <c r="Y84" i="4"/>
  <c r="W84" i="4"/>
  <c r="V84" i="4"/>
  <c r="S84" i="4"/>
  <c r="R84" i="4"/>
  <c r="Q84" i="4"/>
  <c r="O84" i="4"/>
  <c r="N84" i="4"/>
  <c r="K84" i="4"/>
  <c r="M84" i="4" s="1"/>
  <c r="J84" i="4"/>
  <c r="L84" i="4" s="1"/>
  <c r="G84" i="4"/>
  <c r="I84" i="4" s="1"/>
  <c r="F84" i="4"/>
  <c r="C84" i="4"/>
  <c r="AW83" i="4"/>
  <c r="AV83" i="4"/>
  <c r="AU83" i="4"/>
  <c r="AS83" i="4"/>
  <c r="AR83" i="4"/>
  <c r="AQ83" i="4"/>
  <c r="AO83" i="4"/>
  <c r="AM83" i="4"/>
  <c r="AN83" i="4" s="1"/>
  <c r="AK83" i="4"/>
  <c r="AJ83" i="4"/>
  <c r="AI83" i="4"/>
  <c r="AH83" i="4"/>
  <c r="AE83" i="4"/>
  <c r="AG83" i="4" s="1"/>
  <c r="AD83" i="4"/>
  <c r="AC83" i="4"/>
  <c r="AB83" i="4"/>
  <c r="AA83" i="4"/>
  <c r="Z83" i="4"/>
  <c r="W83" i="4"/>
  <c r="V83" i="4"/>
  <c r="S83" i="4"/>
  <c r="U83" i="4" s="1"/>
  <c r="R83" i="4"/>
  <c r="T83" i="4" s="1"/>
  <c r="O83" i="4"/>
  <c r="N83" i="4"/>
  <c r="M83" i="4"/>
  <c r="K83" i="4"/>
  <c r="J83" i="4"/>
  <c r="G83" i="4"/>
  <c r="F83" i="4"/>
  <c r="C83" i="4"/>
  <c r="B83" i="4"/>
  <c r="AW82" i="4"/>
  <c r="AV82" i="4"/>
  <c r="AU82" i="4"/>
  <c r="AS82" i="4"/>
  <c r="AR82" i="4"/>
  <c r="AQ82" i="4"/>
  <c r="AM82" i="4"/>
  <c r="AK82" i="4"/>
  <c r="AI82" i="4"/>
  <c r="AH82" i="4"/>
  <c r="AF82" i="4"/>
  <c r="AE82" i="4"/>
  <c r="AG82" i="4" s="1"/>
  <c r="AD82" i="4"/>
  <c r="AA82" i="4"/>
  <c r="W82" i="4"/>
  <c r="V82" i="4"/>
  <c r="S82" i="4"/>
  <c r="R82" i="4"/>
  <c r="T82" i="4" s="1"/>
  <c r="O82" i="4"/>
  <c r="N82" i="4"/>
  <c r="K82" i="4"/>
  <c r="J82" i="4"/>
  <c r="L82" i="4" s="1"/>
  <c r="H82" i="4"/>
  <c r="G82" i="4"/>
  <c r="I82" i="4" s="1"/>
  <c r="F82" i="4"/>
  <c r="E82" i="4"/>
  <c r="D82" i="4"/>
  <c r="C82" i="4"/>
  <c r="B82" i="4"/>
  <c r="AY81" i="4"/>
  <c r="BA81" i="4" s="1"/>
  <c r="AX81" i="4"/>
  <c r="AZ81" i="4" s="1"/>
  <c r="AW81" i="4"/>
  <c r="AV81" i="4"/>
  <c r="AS81" i="4"/>
  <c r="AR81" i="4"/>
  <c r="AO81" i="4"/>
  <c r="AN81" i="4"/>
  <c r="AK81" i="4"/>
  <c r="AJ81" i="4"/>
  <c r="AG81" i="4"/>
  <c r="AF81" i="4"/>
  <c r="AC81" i="4"/>
  <c r="AB81" i="4"/>
  <c r="Y81" i="4"/>
  <c r="X81" i="4"/>
  <c r="U81" i="4"/>
  <c r="T81" i="4"/>
  <c r="Q81" i="4"/>
  <c r="P81" i="4"/>
  <c r="M81" i="4"/>
  <c r="L81" i="4"/>
  <c r="I81" i="4"/>
  <c r="H81" i="4"/>
  <c r="E81" i="4"/>
  <c r="D81" i="4"/>
  <c r="AT80" i="4"/>
  <c r="AQ80" i="4"/>
  <c r="AS80" i="4" s="1"/>
  <c r="AP80" i="4"/>
  <c r="AR80" i="4" s="1"/>
  <c r="AL80" i="4"/>
  <c r="W80" i="4"/>
  <c r="Y80" i="4" s="1"/>
  <c r="S80" i="4"/>
  <c r="U80" i="4" s="1"/>
  <c r="R80" i="4"/>
  <c r="T80" i="4" s="1"/>
  <c r="J80" i="4"/>
  <c r="F80" i="4"/>
  <c r="C80" i="4"/>
  <c r="AW79" i="4"/>
  <c r="AV79" i="4"/>
  <c r="AU79" i="4"/>
  <c r="AS79" i="4"/>
  <c r="AR79" i="4"/>
  <c r="AQ79" i="4"/>
  <c r="AO79" i="4"/>
  <c r="AN79" i="4"/>
  <c r="AM79" i="4"/>
  <c r="AI79" i="4"/>
  <c r="AK79" i="4" s="1"/>
  <c r="AH79" i="4"/>
  <c r="AE79" i="4"/>
  <c r="AG79" i="4" s="1"/>
  <c r="AD79" i="4"/>
  <c r="AF79" i="4" s="1"/>
  <c r="AA79" i="4"/>
  <c r="Z79" i="4"/>
  <c r="AB79" i="4" s="1"/>
  <c r="Y79" i="4"/>
  <c r="X79" i="4"/>
  <c r="W79" i="4"/>
  <c r="V79" i="4"/>
  <c r="T79" i="4"/>
  <c r="S79" i="4"/>
  <c r="U79" i="4" s="1"/>
  <c r="R79" i="4"/>
  <c r="O79" i="4"/>
  <c r="Q79" i="4" s="1"/>
  <c r="N79" i="4"/>
  <c r="P79" i="4" s="1"/>
  <c r="K79" i="4"/>
  <c r="M79" i="4" s="1"/>
  <c r="J79" i="4"/>
  <c r="G79" i="4"/>
  <c r="I79" i="4" s="1"/>
  <c r="F79" i="4"/>
  <c r="C79" i="4"/>
  <c r="B79" i="4"/>
  <c r="AY78" i="4"/>
  <c r="AW78" i="4"/>
  <c r="AU78" i="4"/>
  <c r="AV78" i="4" s="1"/>
  <c r="AS78" i="4"/>
  <c r="AR78" i="4"/>
  <c r="AQ78" i="4"/>
  <c r="AO78" i="4"/>
  <c r="AN78" i="4"/>
  <c r="AM78" i="4"/>
  <c r="AI78" i="4"/>
  <c r="AK78" i="4" s="1"/>
  <c r="AH78" i="4"/>
  <c r="AH80" i="4" s="1"/>
  <c r="AG78" i="4"/>
  <c r="AF78" i="4"/>
  <c r="AE78" i="4"/>
  <c r="AD78" i="4"/>
  <c r="AA78" i="4"/>
  <c r="Z78" i="4"/>
  <c r="X78" i="4"/>
  <c r="W78" i="4"/>
  <c r="V78" i="4"/>
  <c r="V80" i="4" s="1"/>
  <c r="X80" i="4" s="1"/>
  <c r="S78" i="4"/>
  <c r="T78" i="4" s="1"/>
  <c r="O78" i="4"/>
  <c r="N78" i="4"/>
  <c r="L78" i="4"/>
  <c r="K78" i="4"/>
  <c r="J78" i="4"/>
  <c r="H78" i="4"/>
  <c r="G78" i="4"/>
  <c r="C78" i="4"/>
  <c r="E78" i="4" s="1"/>
  <c r="B78" i="4"/>
  <c r="AX77" i="4"/>
  <c r="AU77" i="4"/>
  <c r="AQ77" i="4"/>
  <c r="AS77" i="4" s="1"/>
  <c r="AM77" i="4"/>
  <c r="AJ77" i="4"/>
  <c r="AI77" i="4"/>
  <c r="AF77" i="4"/>
  <c r="AE77" i="4"/>
  <c r="AG77" i="4" s="1"/>
  <c r="AB77" i="4"/>
  <c r="AA77" i="4"/>
  <c r="W77" i="4"/>
  <c r="Y77" i="4" s="1"/>
  <c r="S77" i="4"/>
  <c r="U77" i="4" s="1"/>
  <c r="Q77" i="4"/>
  <c r="O77" i="4"/>
  <c r="M77" i="4"/>
  <c r="L77" i="4"/>
  <c r="K77" i="4"/>
  <c r="I77" i="4"/>
  <c r="H77" i="4"/>
  <c r="G77" i="4"/>
  <c r="C77" i="4"/>
  <c r="D77" i="4" s="1"/>
  <c r="AX76" i="4"/>
  <c r="AU76" i="4"/>
  <c r="AV76" i="4" s="1"/>
  <c r="AR76" i="4"/>
  <c r="AQ76" i="4"/>
  <c r="AS76" i="4" s="1"/>
  <c r="AO76" i="4"/>
  <c r="AN76" i="4"/>
  <c r="AM76" i="4"/>
  <c r="AI76" i="4"/>
  <c r="AK76" i="4" s="1"/>
  <c r="AE76" i="4"/>
  <c r="AD76" i="4"/>
  <c r="AF76" i="4" s="1"/>
  <c r="AC76" i="4"/>
  <c r="AA76" i="4"/>
  <c r="AB76" i="4" s="1"/>
  <c r="Y76" i="4"/>
  <c r="X76" i="4"/>
  <c r="W76" i="4"/>
  <c r="S76" i="4"/>
  <c r="U76" i="4" s="1"/>
  <c r="Q76" i="4"/>
  <c r="P76" i="4"/>
  <c r="O76" i="4"/>
  <c r="K76" i="4"/>
  <c r="J76" i="4"/>
  <c r="L76" i="4" s="1"/>
  <c r="H76" i="4"/>
  <c r="G76" i="4"/>
  <c r="I76" i="4" s="1"/>
  <c r="F76" i="4"/>
  <c r="D76" i="4"/>
  <c r="C76" i="4"/>
  <c r="AU75" i="4"/>
  <c r="AW75" i="4" s="1"/>
  <c r="AR75" i="4"/>
  <c r="AQ75" i="4"/>
  <c r="AS75" i="4" s="1"/>
  <c r="AM75" i="4"/>
  <c r="AJ75" i="4"/>
  <c r="AI75" i="4"/>
  <c r="AK75" i="4" s="1"/>
  <c r="AH75" i="4"/>
  <c r="AG75" i="4"/>
  <c r="AF75" i="4"/>
  <c r="AE75" i="4"/>
  <c r="AA75" i="4"/>
  <c r="Z75" i="4"/>
  <c r="Y75" i="4"/>
  <c r="X75" i="4"/>
  <c r="W75" i="4"/>
  <c r="V75" i="4"/>
  <c r="S75" i="4"/>
  <c r="R75" i="4"/>
  <c r="T75" i="4" s="1"/>
  <c r="O75" i="4"/>
  <c r="Q75" i="4" s="1"/>
  <c r="N75" i="4"/>
  <c r="K75" i="4"/>
  <c r="J75" i="4"/>
  <c r="H75" i="4"/>
  <c r="G75" i="4"/>
  <c r="F75" i="4"/>
  <c r="I75" i="4" s="1"/>
  <c r="C75" i="4"/>
  <c r="B75" i="4"/>
  <c r="AU74" i="4"/>
  <c r="AQ74" i="4"/>
  <c r="AS74" i="4" s="1"/>
  <c r="AM74" i="4"/>
  <c r="AO74" i="4" s="1"/>
  <c r="AI74" i="4"/>
  <c r="AK74" i="4" s="1"/>
  <c r="AH74" i="4"/>
  <c r="AE74" i="4"/>
  <c r="AD74" i="4"/>
  <c r="AG74" i="4" s="1"/>
  <c r="AA74" i="4"/>
  <c r="AC74" i="4" s="1"/>
  <c r="Z74" i="4"/>
  <c r="W74" i="4"/>
  <c r="V74" i="4"/>
  <c r="X74" i="4" s="1"/>
  <c r="T74" i="4"/>
  <c r="S74" i="4"/>
  <c r="R74" i="4"/>
  <c r="O74" i="4"/>
  <c r="Q74" i="4" s="1"/>
  <c r="N74" i="4"/>
  <c r="AX74" i="4" s="1"/>
  <c r="M74" i="4"/>
  <c r="K74" i="4"/>
  <c r="J74" i="4"/>
  <c r="L74" i="4" s="1"/>
  <c r="G74" i="4"/>
  <c r="F74" i="4"/>
  <c r="H74" i="4" s="1"/>
  <c r="D74" i="4"/>
  <c r="C74" i="4"/>
  <c r="B74" i="4"/>
  <c r="AZ73" i="4"/>
  <c r="AY73" i="4"/>
  <c r="BA73" i="4" s="1"/>
  <c r="AX73" i="4"/>
  <c r="AW73" i="4"/>
  <c r="AU73" i="4"/>
  <c r="AV73" i="4" s="1"/>
  <c r="AQ73" i="4"/>
  <c r="AO73" i="4"/>
  <c r="AN73" i="4"/>
  <c r="AM73" i="4"/>
  <c r="AI73" i="4"/>
  <c r="AF73" i="4"/>
  <c r="AE73" i="4"/>
  <c r="AG73" i="4" s="1"/>
  <c r="AB73" i="4"/>
  <c r="AA73" i="4"/>
  <c r="AC73" i="4" s="1"/>
  <c r="X73" i="4"/>
  <c r="W73" i="4"/>
  <c r="Y73" i="4" s="1"/>
  <c r="S73" i="4"/>
  <c r="Q73" i="4"/>
  <c r="O73" i="4"/>
  <c r="P73" i="4" s="1"/>
  <c r="M73" i="4"/>
  <c r="L73" i="4"/>
  <c r="K73" i="4"/>
  <c r="I73" i="4"/>
  <c r="H73" i="4"/>
  <c r="G73" i="4"/>
  <c r="E73" i="4"/>
  <c r="C73" i="4"/>
  <c r="D73" i="4" s="1"/>
  <c r="AT72" i="4"/>
  <c r="AP72" i="4"/>
  <c r="AL72" i="4"/>
  <c r="AH72" i="4"/>
  <c r="Z72" i="4"/>
  <c r="S72" i="4"/>
  <c r="J72" i="4"/>
  <c r="F72" i="4"/>
  <c r="C72" i="4"/>
  <c r="B72" i="4"/>
  <c r="AV71" i="4"/>
  <c r="AU71" i="4"/>
  <c r="AW71" i="4" s="1"/>
  <c r="AQ71" i="4"/>
  <c r="AS71" i="4" s="1"/>
  <c r="AM71" i="4"/>
  <c r="AO71" i="4" s="1"/>
  <c r="AI71" i="4"/>
  <c r="AH71" i="4"/>
  <c r="AJ71" i="4" s="1"/>
  <c r="AF71" i="4"/>
  <c r="AE71" i="4"/>
  <c r="AG71" i="4" s="1"/>
  <c r="AA71" i="4"/>
  <c r="AB71" i="4" s="1"/>
  <c r="W71" i="4"/>
  <c r="X71" i="4" s="1"/>
  <c r="S71" i="4"/>
  <c r="P71" i="4"/>
  <c r="O71" i="4"/>
  <c r="Q71" i="4" s="1"/>
  <c r="K71" i="4"/>
  <c r="H71" i="4"/>
  <c r="G71" i="4"/>
  <c r="I71" i="4" s="1"/>
  <c r="C71" i="4"/>
  <c r="AW70" i="4"/>
  <c r="AU70" i="4"/>
  <c r="AV70" i="4" s="1"/>
  <c r="AQ70" i="4"/>
  <c r="AS70" i="4" s="1"/>
  <c r="AO70" i="4"/>
  <c r="AN70" i="4"/>
  <c r="AM70" i="4"/>
  <c r="AJ70" i="4"/>
  <c r="AI70" i="4"/>
  <c r="AK70" i="4" s="1"/>
  <c r="AE70" i="4"/>
  <c r="AA70" i="4"/>
  <c r="AB70" i="4" s="1"/>
  <c r="W70" i="4"/>
  <c r="Y70" i="4" s="1"/>
  <c r="V70" i="4"/>
  <c r="T70" i="4"/>
  <c r="S70" i="4"/>
  <c r="R70" i="4"/>
  <c r="Q70" i="4"/>
  <c r="O70" i="4"/>
  <c r="N70" i="4"/>
  <c r="M70" i="4"/>
  <c r="K70" i="4"/>
  <c r="L70" i="4" s="1"/>
  <c r="G70" i="4"/>
  <c r="H70" i="4" s="1"/>
  <c r="C70" i="4"/>
  <c r="AU69" i="4"/>
  <c r="AV69" i="4" s="1"/>
  <c r="AS69" i="4"/>
  <c r="AR69" i="4"/>
  <c r="AQ69" i="4"/>
  <c r="AO69" i="4"/>
  <c r="AN69" i="4"/>
  <c r="AM69" i="4"/>
  <c r="AK69" i="4"/>
  <c r="AI69" i="4"/>
  <c r="AJ69" i="4" s="1"/>
  <c r="AH69" i="4"/>
  <c r="AF69" i="4"/>
  <c r="AE69" i="4"/>
  <c r="AG69" i="4" s="1"/>
  <c r="AB69" i="4"/>
  <c r="AA69" i="4"/>
  <c r="AC69" i="4" s="1"/>
  <c r="W69" i="4"/>
  <c r="V69" i="4"/>
  <c r="Y69" i="4" s="1"/>
  <c r="U69" i="4"/>
  <c r="T69" i="4"/>
  <c r="S69" i="4"/>
  <c r="O69" i="4"/>
  <c r="N69" i="4"/>
  <c r="N72" i="4" s="1"/>
  <c r="K69" i="4"/>
  <c r="M69" i="4" s="1"/>
  <c r="G69" i="4"/>
  <c r="I69" i="4" s="1"/>
  <c r="C69" i="4"/>
  <c r="B69" i="4"/>
  <c r="D69" i="4" s="1"/>
  <c r="AW68" i="4"/>
  <c r="AU68" i="4"/>
  <c r="AV68" i="4" s="1"/>
  <c r="AS68" i="4"/>
  <c r="AR68" i="4"/>
  <c r="AQ68" i="4"/>
  <c r="AM68" i="4"/>
  <c r="AI68" i="4"/>
  <c r="AF68" i="4"/>
  <c r="AE68" i="4"/>
  <c r="AD68" i="4"/>
  <c r="AC68" i="4"/>
  <c r="AA68" i="4"/>
  <c r="Z68" i="4"/>
  <c r="AB68" i="4" s="1"/>
  <c r="W68" i="4"/>
  <c r="V68" i="4"/>
  <c r="X68" i="4" s="1"/>
  <c r="S68" i="4"/>
  <c r="Q68" i="4"/>
  <c r="P68" i="4"/>
  <c r="O68" i="4"/>
  <c r="N68" i="4"/>
  <c r="M68" i="4"/>
  <c r="K68" i="4"/>
  <c r="J68" i="4"/>
  <c r="L68" i="4" s="1"/>
  <c r="G68" i="4"/>
  <c r="F68" i="4"/>
  <c r="H68" i="4" s="1"/>
  <c r="E68" i="4"/>
  <c r="C68" i="4"/>
  <c r="B68" i="4"/>
  <c r="D68" i="4" s="1"/>
  <c r="AW67" i="4"/>
  <c r="AV67" i="4"/>
  <c r="AU67" i="4"/>
  <c r="AS67" i="4"/>
  <c r="AR67" i="4"/>
  <c r="AQ67" i="4"/>
  <c r="AM67" i="4"/>
  <c r="AK67" i="4"/>
  <c r="AJ67" i="4"/>
  <c r="AI67" i="4"/>
  <c r="AG67" i="4"/>
  <c r="AF67" i="4"/>
  <c r="AE67" i="4"/>
  <c r="AA67" i="4"/>
  <c r="AB67" i="4" s="1"/>
  <c r="W67" i="4"/>
  <c r="V67" i="4"/>
  <c r="S67" i="4"/>
  <c r="U67" i="4" s="1"/>
  <c r="R67" i="4"/>
  <c r="Q67" i="4"/>
  <c r="O67" i="4"/>
  <c r="P67" i="4" s="1"/>
  <c r="K67" i="4"/>
  <c r="I67" i="4"/>
  <c r="H67" i="4"/>
  <c r="G67" i="4"/>
  <c r="F67" i="4"/>
  <c r="E67" i="4"/>
  <c r="C67" i="4"/>
  <c r="D67" i="4" s="1"/>
  <c r="B67" i="4"/>
  <c r="AU66" i="4"/>
  <c r="AQ66" i="4"/>
  <c r="AS66" i="4" s="1"/>
  <c r="AO66" i="4"/>
  <c r="AN66" i="4"/>
  <c r="AM66" i="4"/>
  <c r="AI66" i="4"/>
  <c r="AH66" i="4"/>
  <c r="AJ66" i="4" s="1"/>
  <c r="AE66" i="4"/>
  <c r="AD66" i="4"/>
  <c r="AD72" i="4" s="1"/>
  <c r="AA66" i="4"/>
  <c r="AB66" i="4" s="1"/>
  <c r="Y66" i="4"/>
  <c r="W66" i="4"/>
  <c r="V66" i="4"/>
  <c r="X66" i="4" s="1"/>
  <c r="S66" i="4"/>
  <c r="R66" i="4"/>
  <c r="T66" i="4" s="1"/>
  <c r="Q66" i="4"/>
  <c r="P66" i="4"/>
  <c r="O66" i="4"/>
  <c r="K66" i="4"/>
  <c r="M66" i="4" s="1"/>
  <c r="J66" i="4"/>
  <c r="H66" i="4"/>
  <c r="G66" i="4"/>
  <c r="F66" i="4"/>
  <c r="E66" i="4"/>
  <c r="D66" i="4"/>
  <c r="C66" i="4"/>
  <c r="AY65" i="4"/>
  <c r="BA65" i="4" s="1"/>
  <c r="AX65" i="4"/>
  <c r="AW65" i="4"/>
  <c r="AV65" i="4"/>
  <c r="AU65" i="4"/>
  <c r="AS65" i="4"/>
  <c r="AQ65" i="4"/>
  <c r="AO65" i="4"/>
  <c r="AM65" i="4"/>
  <c r="AN65" i="4" s="1"/>
  <c r="AK65" i="4"/>
  <c r="AI65" i="4"/>
  <c r="AH65" i="4"/>
  <c r="AG65" i="4"/>
  <c r="AF65" i="4"/>
  <c r="AE65" i="4"/>
  <c r="AA65" i="4"/>
  <c r="Y65" i="4"/>
  <c r="X65" i="4"/>
  <c r="W65" i="4"/>
  <c r="U65" i="4"/>
  <c r="T65" i="4"/>
  <c r="S65" i="4"/>
  <c r="P65" i="4"/>
  <c r="O65" i="4"/>
  <c r="L65" i="4"/>
  <c r="K65" i="4"/>
  <c r="I65" i="4"/>
  <c r="G65" i="4"/>
  <c r="E65" i="4"/>
  <c r="C65" i="4"/>
  <c r="D65" i="4" s="1"/>
  <c r="AY64" i="4"/>
  <c r="BA64" i="4" s="1"/>
  <c r="AX64" i="4"/>
  <c r="AZ64" i="4" s="1"/>
  <c r="AW64" i="4"/>
  <c r="AV64" i="4"/>
  <c r="AS64" i="4"/>
  <c r="AR64" i="4"/>
  <c r="AO64" i="4"/>
  <c r="AN64" i="4"/>
  <c r="AK64" i="4"/>
  <c r="AJ64" i="4"/>
  <c r="AG64" i="4"/>
  <c r="AF64" i="4"/>
  <c r="AC64" i="4"/>
  <c r="AB64" i="4"/>
  <c r="Y64" i="4"/>
  <c r="X64" i="4"/>
  <c r="U64" i="4"/>
  <c r="T64" i="4"/>
  <c r="Q64" i="4"/>
  <c r="P64" i="4"/>
  <c r="M64" i="4"/>
  <c r="L64" i="4"/>
  <c r="I64" i="4"/>
  <c r="H64" i="4"/>
  <c r="E64" i="4"/>
  <c r="D64" i="4"/>
  <c r="AW63" i="4"/>
  <c r="AV63" i="4"/>
  <c r="AU63" i="4"/>
  <c r="AR63" i="4"/>
  <c r="AQ63" i="4"/>
  <c r="AS63" i="4" s="1"/>
  <c r="AN63" i="4"/>
  <c r="AM63" i="4"/>
  <c r="AO63" i="4" s="1"/>
  <c r="AK63" i="4"/>
  <c r="AI63" i="4"/>
  <c r="AJ63" i="4" s="1"/>
  <c r="AE63" i="4"/>
  <c r="AG63" i="4" s="1"/>
  <c r="AD63" i="4"/>
  <c r="AA63" i="4"/>
  <c r="Z63" i="4"/>
  <c r="AB63" i="4" s="1"/>
  <c r="W63" i="4"/>
  <c r="Y63" i="4" s="1"/>
  <c r="T63" i="4"/>
  <c r="S63" i="4"/>
  <c r="U63" i="4" s="1"/>
  <c r="O63" i="4"/>
  <c r="N63" i="4"/>
  <c r="P63" i="4" s="1"/>
  <c r="K63" i="4"/>
  <c r="AY63" i="4" s="1"/>
  <c r="J63" i="4"/>
  <c r="I63" i="4"/>
  <c r="G63" i="4"/>
  <c r="F63" i="4"/>
  <c r="H63" i="4" s="1"/>
  <c r="E63" i="4"/>
  <c r="D63" i="4"/>
  <c r="C63" i="4"/>
  <c r="AU62" i="4"/>
  <c r="AV62" i="4" s="1"/>
  <c r="AR62" i="4"/>
  <c r="AQ62" i="4"/>
  <c r="AS62" i="4" s="1"/>
  <c r="AM62" i="4"/>
  <c r="AO62" i="4" s="1"/>
  <c r="AI62" i="4"/>
  <c r="AH62" i="4"/>
  <c r="AJ62" i="4" s="1"/>
  <c r="AE62" i="4"/>
  <c r="AG62" i="4" s="1"/>
  <c r="AC62" i="4"/>
  <c r="AB62" i="4"/>
  <c r="AA62" i="4"/>
  <c r="Z62" i="4"/>
  <c r="Y62" i="4"/>
  <c r="W62" i="4"/>
  <c r="V62" i="4"/>
  <c r="U62" i="4"/>
  <c r="T62" i="4"/>
  <c r="S62" i="4"/>
  <c r="R62" i="4"/>
  <c r="Q62" i="4"/>
  <c r="O62" i="4"/>
  <c r="N62" i="4"/>
  <c r="P62" i="4" s="1"/>
  <c r="K62" i="4"/>
  <c r="J62" i="4"/>
  <c r="I62" i="4"/>
  <c r="H62" i="4"/>
  <c r="G62" i="4"/>
  <c r="F62" i="4"/>
  <c r="C62" i="4"/>
  <c r="B62" i="4"/>
  <c r="D62" i="4" s="1"/>
  <c r="AX61" i="4"/>
  <c r="AW61" i="4"/>
  <c r="AV61" i="4"/>
  <c r="AU61" i="4"/>
  <c r="AS61" i="4"/>
  <c r="AQ61" i="4"/>
  <c r="AR61" i="4" s="1"/>
  <c r="AO61" i="4"/>
  <c r="AN61" i="4"/>
  <c r="AM61" i="4"/>
  <c r="AI61" i="4"/>
  <c r="AJ61" i="4" s="1"/>
  <c r="AE61" i="4"/>
  <c r="AF61" i="4" s="1"/>
  <c r="AA61" i="4"/>
  <c r="W61" i="4"/>
  <c r="Y61" i="4" s="1"/>
  <c r="S61" i="4"/>
  <c r="Q61" i="4"/>
  <c r="O61" i="4"/>
  <c r="L61" i="4"/>
  <c r="K61" i="4"/>
  <c r="M61" i="4" s="1"/>
  <c r="H61" i="4"/>
  <c r="G61" i="4"/>
  <c r="I61" i="4" s="1"/>
  <c r="D61" i="4"/>
  <c r="C61" i="4"/>
  <c r="E61" i="4" s="1"/>
  <c r="AT60" i="4"/>
  <c r="AR60" i="4"/>
  <c r="AP60" i="4"/>
  <c r="AL60" i="4"/>
  <c r="AD60" i="4"/>
  <c r="Z60" i="4"/>
  <c r="AB60" i="4" s="1"/>
  <c r="W60" i="4"/>
  <c r="Y60" i="4" s="1"/>
  <c r="V60" i="4"/>
  <c r="O60" i="4"/>
  <c r="Q60" i="4" s="1"/>
  <c r="N60" i="4"/>
  <c r="J60" i="4"/>
  <c r="F60" i="4"/>
  <c r="C60" i="4"/>
  <c r="D60" i="4" s="1"/>
  <c r="B60" i="4"/>
  <c r="AU59" i="4"/>
  <c r="AR59" i="4"/>
  <c r="AQ59" i="4"/>
  <c r="AS59" i="4" s="1"/>
  <c r="AO59" i="4"/>
  <c r="AN59" i="4"/>
  <c r="AM59" i="4"/>
  <c r="AI59" i="4"/>
  <c r="AK59" i="4" s="1"/>
  <c r="AH59" i="4"/>
  <c r="AX59" i="4" s="1"/>
  <c r="AE59" i="4"/>
  <c r="AC59" i="4"/>
  <c r="AB59" i="4"/>
  <c r="AA59" i="4"/>
  <c r="Y59" i="4"/>
  <c r="X59" i="4"/>
  <c r="W59" i="4"/>
  <c r="S59" i="4"/>
  <c r="T59" i="4" s="1"/>
  <c r="Q59" i="4"/>
  <c r="P59" i="4"/>
  <c r="O59" i="4"/>
  <c r="M59" i="4"/>
  <c r="L59" i="4"/>
  <c r="K59" i="4"/>
  <c r="H59" i="4"/>
  <c r="G59" i="4"/>
  <c r="I59" i="4" s="1"/>
  <c r="C59" i="4"/>
  <c r="AV58" i="4"/>
  <c r="AU58" i="4"/>
  <c r="AS58" i="4"/>
  <c r="AQ58" i="4"/>
  <c r="AQ60" i="4" s="1"/>
  <c r="AS60" i="4" s="1"/>
  <c r="AO58" i="4"/>
  <c r="AN58" i="4"/>
  <c r="AM58" i="4"/>
  <c r="AI58" i="4"/>
  <c r="AE58" i="4"/>
  <c r="AC58" i="4"/>
  <c r="AB58" i="4"/>
  <c r="AA58" i="4"/>
  <c r="AA60" i="4" s="1"/>
  <c r="AC60" i="4" s="1"/>
  <c r="Y58" i="4"/>
  <c r="X58" i="4"/>
  <c r="W58" i="4"/>
  <c r="S58" i="4"/>
  <c r="R58" i="4"/>
  <c r="T58" i="4" s="1"/>
  <c r="Q58" i="4"/>
  <c r="P58" i="4"/>
  <c r="O58" i="4"/>
  <c r="K58" i="4"/>
  <c r="L58" i="4" s="1"/>
  <c r="G58" i="4"/>
  <c r="D58" i="4"/>
  <c r="C58" i="4"/>
  <c r="AU57" i="4"/>
  <c r="AV57" i="4" s="1"/>
  <c r="AQ57" i="4"/>
  <c r="AO57" i="4"/>
  <c r="AN57" i="4"/>
  <c r="AM57" i="4"/>
  <c r="AK57" i="4"/>
  <c r="AI57" i="4"/>
  <c r="AH57" i="4"/>
  <c r="AX57" i="4" s="1"/>
  <c r="AE57" i="4"/>
  <c r="AG57" i="4" s="1"/>
  <c r="AA57" i="4"/>
  <c r="X57" i="4"/>
  <c r="W57" i="4"/>
  <c r="Y57" i="4" s="1"/>
  <c r="S57" i="4"/>
  <c r="Q57" i="4"/>
  <c r="O57" i="4"/>
  <c r="P57" i="4" s="1"/>
  <c r="K57" i="4"/>
  <c r="H57" i="4"/>
  <c r="G57" i="4"/>
  <c r="I57" i="4" s="1"/>
  <c r="E57" i="4"/>
  <c r="D57" i="4"/>
  <c r="C57" i="4"/>
  <c r="AU56" i="4"/>
  <c r="AQ56" i="4"/>
  <c r="AS56" i="4" s="1"/>
  <c r="AM56" i="4"/>
  <c r="AN56" i="4" s="1"/>
  <c r="AI56" i="4"/>
  <c r="AH56" i="4"/>
  <c r="AJ56" i="4" s="1"/>
  <c r="AG56" i="4"/>
  <c r="AE56" i="4"/>
  <c r="AD56" i="4"/>
  <c r="AF56" i="4" s="1"/>
  <c r="AC56" i="4"/>
  <c r="AA56" i="4"/>
  <c r="Z56" i="4"/>
  <c r="X56" i="4"/>
  <c r="W56" i="4"/>
  <c r="V56" i="4"/>
  <c r="Y56" i="4" s="1"/>
  <c r="U56" i="4"/>
  <c r="S56" i="4"/>
  <c r="R56" i="4"/>
  <c r="T56" i="4" s="1"/>
  <c r="Q56" i="4"/>
  <c r="P56" i="4"/>
  <c r="O56" i="4"/>
  <c r="L56" i="4"/>
  <c r="K56" i="4"/>
  <c r="M56" i="4" s="1"/>
  <c r="J56" i="4"/>
  <c r="G56" i="4"/>
  <c r="F56" i="4"/>
  <c r="C56" i="4"/>
  <c r="B56" i="4"/>
  <c r="AL55" i="4"/>
  <c r="AV54" i="4"/>
  <c r="AU54" i="4"/>
  <c r="AW54" i="4" s="1"/>
  <c r="AS54" i="4"/>
  <c r="AR54" i="4"/>
  <c r="AQ54" i="4"/>
  <c r="AO54" i="4"/>
  <c r="AM54" i="4"/>
  <c r="AN54" i="4" s="1"/>
  <c r="AK54" i="4"/>
  <c r="AI54" i="4"/>
  <c r="AJ54" i="4" s="1"/>
  <c r="AE54" i="4"/>
  <c r="AG54" i="4" s="1"/>
  <c r="AA54" i="4"/>
  <c r="AC54" i="4" s="1"/>
  <c r="W54" i="4"/>
  <c r="Y54" i="4" s="1"/>
  <c r="V54" i="4"/>
  <c r="S54" i="4"/>
  <c r="U54" i="4" s="1"/>
  <c r="Q54" i="4"/>
  <c r="P54" i="4"/>
  <c r="O54" i="4"/>
  <c r="K54" i="4"/>
  <c r="M54" i="4" s="1"/>
  <c r="H54" i="4"/>
  <c r="G54" i="4"/>
  <c r="I54" i="4" s="1"/>
  <c r="C54" i="4"/>
  <c r="B54" i="4"/>
  <c r="AT53" i="4"/>
  <c r="AP53" i="4"/>
  <c r="AL53" i="4"/>
  <c r="Z53" i="4"/>
  <c r="R53" i="4"/>
  <c r="O53" i="4"/>
  <c r="J53" i="4"/>
  <c r="F53" i="4"/>
  <c r="AU52" i="4"/>
  <c r="AW52" i="4" s="1"/>
  <c r="AQ52" i="4"/>
  <c r="AN52" i="4"/>
  <c r="AM52" i="4"/>
  <c r="AO52" i="4" s="1"/>
  <c r="AI52" i="4"/>
  <c r="AE52" i="4"/>
  <c r="AD52" i="4"/>
  <c r="AF52" i="4" s="1"/>
  <c r="AB52" i="4"/>
  <c r="AA52" i="4"/>
  <c r="AC52" i="4" s="1"/>
  <c r="W52" i="4"/>
  <c r="Y52" i="4" s="1"/>
  <c r="V52" i="4"/>
  <c r="S52" i="4"/>
  <c r="P52" i="4"/>
  <c r="O52" i="4"/>
  <c r="Q52" i="4" s="1"/>
  <c r="M52" i="4"/>
  <c r="K52" i="4"/>
  <c r="J52" i="4"/>
  <c r="L52" i="4" s="1"/>
  <c r="G52" i="4"/>
  <c r="C52" i="4"/>
  <c r="B52" i="4"/>
  <c r="AX51" i="4"/>
  <c r="AW51" i="4"/>
  <c r="AV51" i="4"/>
  <c r="AU51" i="4"/>
  <c r="AQ51" i="4"/>
  <c r="AO51" i="4"/>
  <c r="AM51" i="4"/>
  <c r="AN51" i="4" s="1"/>
  <c r="AI51" i="4"/>
  <c r="AK51" i="4" s="1"/>
  <c r="AH51" i="4"/>
  <c r="AJ51" i="4" s="1"/>
  <c r="AE51" i="4"/>
  <c r="AG51" i="4" s="1"/>
  <c r="AD51" i="4"/>
  <c r="AF51" i="4" s="1"/>
  <c r="AC51" i="4"/>
  <c r="AA51" i="4"/>
  <c r="Z51" i="4"/>
  <c r="AB51" i="4" s="1"/>
  <c r="Y51" i="4"/>
  <c r="W51" i="4"/>
  <c r="V51" i="4"/>
  <c r="X51" i="4" s="1"/>
  <c r="S51" i="4"/>
  <c r="T51" i="4" s="1"/>
  <c r="R51" i="4"/>
  <c r="Q51" i="4"/>
  <c r="P51" i="4"/>
  <c r="O51" i="4"/>
  <c r="N51" i="4"/>
  <c r="K51" i="4"/>
  <c r="M51" i="4" s="1"/>
  <c r="J51" i="4"/>
  <c r="L51" i="4" s="1"/>
  <c r="G51" i="4"/>
  <c r="F51" i="4"/>
  <c r="E51" i="4"/>
  <c r="C51" i="4"/>
  <c r="B51" i="4"/>
  <c r="AU50" i="4"/>
  <c r="AS50" i="4"/>
  <c r="AR50" i="4"/>
  <c r="AQ50" i="4"/>
  <c r="AM50" i="4"/>
  <c r="AK50" i="4"/>
  <c r="AJ50" i="4"/>
  <c r="AI50" i="4"/>
  <c r="AH50" i="4"/>
  <c r="AH53" i="4" s="1"/>
  <c r="AF50" i="4"/>
  <c r="AE50" i="4"/>
  <c r="AD50" i="4"/>
  <c r="AA50" i="4"/>
  <c r="Z50" i="4"/>
  <c r="W50" i="4"/>
  <c r="V50" i="4"/>
  <c r="S50" i="4"/>
  <c r="R50" i="4"/>
  <c r="O50" i="4"/>
  <c r="N50" i="4"/>
  <c r="K50" i="4"/>
  <c r="L50" i="4" s="1"/>
  <c r="J50" i="4"/>
  <c r="I50" i="4"/>
  <c r="G50" i="4"/>
  <c r="F50" i="4"/>
  <c r="H50" i="4" s="1"/>
  <c r="C50" i="4"/>
  <c r="B50" i="4"/>
  <c r="AX50" i="4" s="1"/>
  <c r="BA49" i="4"/>
  <c r="AZ49" i="4"/>
  <c r="AY49" i="4"/>
  <c r="AX49" i="4"/>
  <c r="AW49" i="4"/>
  <c r="AV49" i="4"/>
  <c r="AS49" i="4"/>
  <c r="AR49" i="4"/>
  <c r="AO49" i="4"/>
  <c r="AN49" i="4"/>
  <c r="AK49" i="4"/>
  <c r="AJ49" i="4"/>
  <c r="AG49" i="4"/>
  <c r="AF49" i="4"/>
  <c r="AC49" i="4"/>
  <c r="AB49" i="4"/>
  <c r="Y49" i="4"/>
  <c r="X49" i="4"/>
  <c r="U49" i="4"/>
  <c r="T49" i="4"/>
  <c r="Q49" i="4"/>
  <c r="P49" i="4"/>
  <c r="M49" i="4"/>
  <c r="L49" i="4"/>
  <c r="I49" i="4"/>
  <c r="H49" i="4"/>
  <c r="E49" i="4"/>
  <c r="D49" i="4"/>
  <c r="AU48" i="4"/>
  <c r="AW48" i="4" s="1"/>
  <c r="AQ48" i="4"/>
  <c r="AR48" i="4" s="1"/>
  <c r="AN48" i="4"/>
  <c r="AM48" i="4"/>
  <c r="AO48" i="4" s="1"/>
  <c r="AI48" i="4"/>
  <c r="AK48" i="4" s="1"/>
  <c r="AE48" i="4"/>
  <c r="AG48" i="4" s="1"/>
  <c r="AC48" i="4"/>
  <c r="AA48" i="4"/>
  <c r="AB48" i="4" s="1"/>
  <c r="W48" i="4"/>
  <c r="U48" i="4"/>
  <c r="S48" i="4"/>
  <c r="R48" i="4"/>
  <c r="T48" i="4" s="1"/>
  <c r="Q48" i="4"/>
  <c r="O48" i="4"/>
  <c r="N48" i="4"/>
  <c r="P48" i="4" s="1"/>
  <c r="K48" i="4"/>
  <c r="M48" i="4" s="1"/>
  <c r="J48" i="4"/>
  <c r="L48" i="4" s="1"/>
  <c r="I48" i="4"/>
  <c r="G48" i="4"/>
  <c r="H48" i="4" s="1"/>
  <c r="C48" i="4"/>
  <c r="E48" i="4" s="1"/>
  <c r="AT47" i="4"/>
  <c r="AQ47" i="4"/>
  <c r="AP47" i="4"/>
  <c r="AR47" i="4" s="1"/>
  <c r="AL47" i="4"/>
  <c r="AH47" i="4"/>
  <c r="AE47" i="4"/>
  <c r="AG47" i="4" s="1"/>
  <c r="AD47" i="4"/>
  <c r="AF47" i="4" s="1"/>
  <c r="AC47" i="4"/>
  <c r="AA47" i="4"/>
  <c r="Z47" i="4"/>
  <c r="AB47" i="4" s="1"/>
  <c r="V47" i="4"/>
  <c r="R47" i="4"/>
  <c r="N47" i="4"/>
  <c r="K47" i="4"/>
  <c r="M47" i="4" s="1"/>
  <c r="J47" i="4"/>
  <c r="G47" i="4"/>
  <c r="F47" i="4"/>
  <c r="H47" i="4" s="1"/>
  <c r="AX46" i="4"/>
  <c r="AU46" i="4"/>
  <c r="AS46" i="4"/>
  <c r="AR46" i="4"/>
  <c r="AQ46" i="4"/>
  <c r="AM46" i="4"/>
  <c r="AJ46" i="4"/>
  <c r="AI46" i="4"/>
  <c r="AG46" i="4"/>
  <c r="AF46" i="4"/>
  <c r="AE46" i="4"/>
  <c r="AC46" i="4"/>
  <c r="AA46" i="4"/>
  <c r="AB46" i="4" s="1"/>
  <c r="W46" i="4"/>
  <c r="Y46" i="4" s="1"/>
  <c r="T46" i="4"/>
  <c r="S46" i="4"/>
  <c r="U46" i="4" s="1"/>
  <c r="Q46" i="4"/>
  <c r="P46" i="4"/>
  <c r="O46" i="4"/>
  <c r="O47" i="4" s="1"/>
  <c r="Q47" i="4" s="1"/>
  <c r="M46" i="4"/>
  <c r="K46" i="4"/>
  <c r="L46" i="4" s="1"/>
  <c r="H46" i="4"/>
  <c r="G46" i="4"/>
  <c r="I46" i="4" s="1"/>
  <c r="C46" i="4"/>
  <c r="C47" i="4" s="1"/>
  <c r="B46" i="4"/>
  <c r="B47" i="4" s="1"/>
  <c r="AY45" i="4"/>
  <c r="BA45" i="4" s="1"/>
  <c r="AX45" i="4"/>
  <c r="AW45" i="4"/>
  <c r="AV45" i="4"/>
  <c r="AS45" i="4"/>
  <c r="AR45" i="4"/>
  <c r="AO45" i="4"/>
  <c r="AN45" i="4"/>
  <c r="AK45" i="4"/>
  <c r="AJ45" i="4"/>
  <c r="AG45" i="4"/>
  <c r="AF45" i="4"/>
  <c r="AC45" i="4"/>
  <c r="AB45" i="4"/>
  <c r="Y45" i="4"/>
  <c r="X45" i="4"/>
  <c r="U45" i="4"/>
  <c r="T45" i="4"/>
  <c r="Q45" i="4"/>
  <c r="P45" i="4"/>
  <c r="M45" i="4"/>
  <c r="L45" i="4"/>
  <c r="I45" i="4"/>
  <c r="H45" i="4"/>
  <c r="E45" i="4"/>
  <c r="D45" i="4"/>
  <c r="AT44" i="4"/>
  <c r="AP44" i="4"/>
  <c r="AP55" i="4" s="1"/>
  <c r="AL44" i="4"/>
  <c r="S44" i="4"/>
  <c r="N44" i="4"/>
  <c r="G44" i="4"/>
  <c r="AV43" i="4"/>
  <c r="AU43" i="4"/>
  <c r="AW43" i="4" s="1"/>
  <c r="AR43" i="4"/>
  <c r="AQ43" i="4"/>
  <c r="AS43" i="4" s="1"/>
  <c r="AN43" i="4"/>
  <c r="AM43" i="4"/>
  <c r="AO43" i="4" s="1"/>
  <c r="AI43" i="4"/>
  <c r="AH43" i="4"/>
  <c r="AE43" i="4"/>
  <c r="AD43" i="4"/>
  <c r="AB43" i="4"/>
  <c r="AA43" i="4"/>
  <c r="AC43" i="4" s="1"/>
  <c r="W43" i="4"/>
  <c r="T43" i="4"/>
  <c r="S43" i="4"/>
  <c r="U43" i="4" s="1"/>
  <c r="R43" i="4"/>
  <c r="Q43" i="4"/>
  <c r="P43" i="4"/>
  <c r="O43" i="4"/>
  <c r="N43" i="4"/>
  <c r="L43" i="4"/>
  <c r="K43" i="4"/>
  <c r="M43" i="4" s="1"/>
  <c r="I43" i="4"/>
  <c r="H43" i="4"/>
  <c r="G43" i="4"/>
  <c r="E43" i="4"/>
  <c r="C43" i="4"/>
  <c r="B43" i="4"/>
  <c r="D43" i="4" s="1"/>
  <c r="AX42" i="4"/>
  <c r="AW42" i="4"/>
  <c r="AU42" i="4"/>
  <c r="AS42" i="4"/>
  <c r="AR42" i="4"/>
  <c r="AQ42" i="4"/>
  <c r="AM42" i="4"/>
  <c r="AO42" i="4" s="1"/>
  <c r="AI42" i="4"/>
  <c r="AH42" i="4"/>
  <c r="AG42" i="4"/>
  <c r="AF42" i="4"/>
  <c r="AE42" i="4"/>
  <c r="AD42" i="4"/>
  <c r="AA42" i="4"/>
  <c r="AC42" i="4" s="1"/>
  <c r="Z42" i="4"/>
  <c r="W42" i="4"/>
  <c r="X42" i="4" s="1"/>
  <c r="V42" i="4"/>
  <c r="V44" i="4" s="1"/>
  <c r="S42" i="4"/>
  <c r="R42" i="4"/>
  <c r="O42" i="4"/>
  <c r="N42" i="4"/>
  <c r="K42" i="4"/>
  <c r="M42" i="4" s="1"/>
  <c r="J42" i="4"/>
  <c r="J44" i="4" s="1"/>
  <c r="G42" i="4"/>
  <c r="I42" i="4" s="1"/>
  <c r="F42" i="4"/>
  <c r="C42" i="4"/>
  <c r="B42" i="4"/>
  <c r="D42" i="4" s="1"/>
  <c r="AX41" i="4"/>
  <c r="AW41" i="4"/>
  <c r="AV41" i="4"/>
  <c r="AU41" i="4"/>
  <c r="AR41" i="4"/>
  <c r="AQ41" i="4"/>
  <c r="AS41" i="4" s="1"/>
  <c r="AO41" i="4"/>
  <c r="AM41" i="4"/>
  <c r="AN41" i="4" s="1"/>
  <c r="AJ41" i="4"/>
  <c r="AI41" i="4"/>
  <c r="AK41" i="4" s="1"/>
  <c r="AH41" i="4"/>
  <c r="AF41" i="4"/>
  <c r="AE41" i="4"/>
  <c r="AG41" i="4" s="1"/>
  <c r="AD41" i="4"/>
  <c r="AA41" i="4"/>
  <c r="Y41" i="4"/>
  <c r="X41" i="4"/>
  <c r="W41" i="4"/>
  <c r="S41" i="4"/>
  <c r="Q41" i="4"/>
  <c r="O41" i="4"/>
  <c r="P41" i="4" s="1"/>
  <c r="K41" i="4"/>
  <c r="M41" i="4" s="1"/>
  <c r="G41" i="4"/>
  <c r="I41" i="4" s="1"/>
  <c r="C41" i="4"/>
  <c r="B41" i="4"/>
  <c r="D41" i="4" s="1"/>
  <c r="AW40" i="4"/>
  <c r="AV40" i="4"/>
  <c r="AU40" i="4"/>
  <c r="AQ40" i="4"/>
  <c r="AM40" i="4"/>
  <c r="AI40" i="4"/>
  <c r="AH40" i="4"/>
  <c r="AE40" i="4"/>
  <c r="AG40" i="4" s="1"/>
  <c r="AD40" i="4"/>
  <c r="AB40" i="4"/>
  <c r="AA40" i="4"/>
  <c r="Z40" i="4"/>
  <c r="W40" i="4"/>
  <c r="Y40" i="4" s="1"/>
  <c r="V40" i="4"/>
  <c r="S40" i="4"/>
  <c r="R40" i="4"/>
  <c r="R44" i="4" s="1"/>
  <c r="O40" i="4"/>
  <c r="N40" i="4"/>
  <c r="P40" i="4" s="1"/>
  <c r="M40" i="4"/>
  <c r="K40" i="4"/>
  <c r="J40" i="4"/>
  <c r="L40" i="4" s="1"/>
  <c r="I40" i="4"/>
  <c r="G40" i="4"/>
  <c r="F40" i="4"/>
  <c r="C40" i="4"/>
  <c r="B40" i="4"/>
  <c r="BA39" i="4"/>
  <c r="AY39" i="4"/>
  <c r="AX39" i="4"/>
  <c r="AZ39" i="4" s="1"/>
  <c r="AW39" i="4"/>
  <c r="AV39" i="4"/>
  <c r="AS39" i="4"/>
  <c r="AR39" i="4"/>
  <c r="AO39" i="4"/>
  <c r="AN39" i="4"/>
  <c r="AK39" i="4"/>
  <c r="AJ39" i="4"/>
  <c r="AG39" i="4"/>
  <c r="AF39" i="4"/>
  <c r="AC39" i="4"/>
  <c r="AB39" i="4"/>
  <c r="Y39" i="4"/>
  <c r="X39" i="4"/>
  <c r="U39" i="4"/>
  <c r="T39" i="4"/>
  <c r="Q39" i="4"/>
  <c r="P39" i="4"/>
  <c r="M39" i="4"/>
  <c r="L39" i="4"/>
  <c r="I39" i="4"/>
  <c r="H39" i="4"/>
  <c r="E39" i="4"/>
  <c r="D39" i="4"/>
  <c r="BA38" i="4"/>
  <c r="AY38" i="4"/>
  <c r="AX38" i="4"/>
  <c r="AZ38" i="4" s="1"/>
  <c r="AW38" i="4"/>
  <c r="AV38" i="4"/>
  <c r="AS38" i="4"/>
  <c r="AR38" i="4"/>
  <c r="AO38" i="4"/>
  <c r="AN38" i="4"/>
  <c r="AK38" i="4"/>
  <c r="AJ38" i="4"/>
  <c r="AG38" i="4"/>
  <c r="AF38" i="4"/>
  <c r="AC38" i="4"/>
  <c r="AB38" i="4"/>
  <c r="Y38" i="4"/>
  <c r="X38" i="4"/>
  <c r="U38" i="4"/>
  <c r="T38" i="4"/>
  <c r="Q38" i="4"/>
  <c r="P38" i="4"/>
  <c r="M38" i="4"/>
  <c r="L38" i="4"/>
  <c r="I38" i="4"/>
  <c r="H38" i="4"/>
  <c r="E38" i="4"/>
  <c r="D38" i="4"/>
  <c r="AW37" i="4"/>
  <c r="AV37" i="4"/>
  <c r="AU37" i="4"/>
  <c r="AS37" i="4"/>
  <c r="AR37" i="4"/>
  <c r="AQ37" i="4"/>
  <c r="AM37" i="4"/>
  <c r="AO37" i="4" s="1"/>
  <c r="AI37" i="4"/>
  <c r="AH37" i="4"/>
  <c r="AJ37" i="4" s="1"/>
  <c r="AE37" i="4"/>
  <c r="AA37" i="4"/>
  <c r="AC37" i="4" s="1"/>
  <c r="Z37" i="4"/>
  <c r="Y37" i="4"/>
  <c r="W37" i="4"/>
  <c r="X37" i="4" s="1"/>
  <c r="V37" i="4"/>
  <c r="U37" i="4"/>
  <c r="T37" i="4"/>
  <c r="S37" i="4"/>
  <c r="P37" i="4"/>
  <c r="O37" i="4"/>
  <c r="Q37" i="4" s="1"/>
  <c r="N37" i="4"/>
  <c r="K37" i="4"/>
  <c r="G37" i="4"/>
  <c r="C37" i="4"/>
  <c r="B37" i="4"/>
  <c r="D37" i="4" s="1"/>
  <c r="AW36" i="4"/>
  <c r="AV36" i="4"/>
  <c r="AU36" i="4"/>
  <c r="AQ36" i="4"/>
  <c r="AS36" i="4" s="1"/>
  <c r="AO36" i="4"/>
  <c r="AM36" i="4"/>
  <c r="AN36" i="4" s="1"/>
  <c r="AI36" i="4"/>
  <c r="AK36" i="4" s="1"/>
  <c r="AH36" i="4"/>
  <c r="AE36" i="4"/>
  <c r="AG36" i="4" s="1"/>
  <c r="AA36" i="4"/>
  <c r="AC36" i="4" s="1"/>
  <c r="Z36" i="4"/>
  <c r="W36" i="4"/>
  <c r="Y36" i="4" s="1"/>
  <c r="V36" i="4"/>
  <c r="S36" i="4"/>
  <c r="T36" i="4" s="1"/>
  <c r="Q36" i="4"/>
  <c r="P36" i="4"/>
  <c r="O36" i="4"/>
  <c r="N36" i="4"/>
  <c r="K36" i="4"/>
  <c r="M36" i="4" s="1"/>
  <c r="J36" i="4"/>
  <c r="H36" i="4"/>
  <c r="G36" i="4"/>
  <c r="E36" i="4"/>
  <c r="D36" i="4"/>
  <c r="C36" i="4"/>
  <c r="AU35" i="4"/>
  <c r="AS35" i="4"/>
  <c r="AQ35" i="4"/>
  <c r="AR35" i="4" s="1"/>
  <c r="AN35" i="4"/>
  <c r="AM35" i="4"/>
  <c r="AO35" i="4" s="1"/>
  <c r="AI35" i="4"/>
  <c r="AK35" i="4" s="1"/>
  <c r="AH35" i="4"/>
  <c r="AJ35" i="4" s="1"/>
  <c r="AG35" i="4"/>
  <c r="AE35" i="4"/>
  <c r="AF35" i="4" s="1"/>
  <c r="AD35" i="4"/>
  <c r="AA35" i="4"/>
  <c r="Z35" i="4"/>
  <c r="W35" i="4"/>
  <c r="V35" i="4"/>
  <c r="U35" i="4"/>
  <c r="S35" i="4"/>
  <c r="R35" i="4"/>
  <c r="T35" i="4" s="1"/>
  <c r="O35" i="4"/>
  <c r="N35" i="4"/>
  <c r="P35" i="4" s="1"/>
  <c r="K35" i="4"/>
  <c r="M35" i="4" s="1"/>
  <c r="J35" i="4"/>
  <c r="G35" i="4"/>
  <c r="F35" i="4"/>
  <c r="E35" i="4"/>
  <c r="C35" i="4"/>
  <c r="B35" i="4"/>
  <c r="BA34" i="4"/>
  <c r="AY34" i="4"/>
  <c r="AW34" i="4"/>
  <c r="AV34" i="4"/>
  <c r="AS34" i="4"/>
  <c r="AR34" i="4"/>
  <c r="AO34" i="4"/>
  <c r="AN34" i="4"/>
  <c r="AK34" i="4"/>
  <c r="AH34" i="4"/>
  <c r="AJ34" i="4" s="1"/>
  <c r="AG34" i="4"/>
  <c r="AF34" i="4"/>
  <c r="AC34" i="4"/>
  <c r="AB34" i="4"/>
  <c r="Z34" i="4"/>
  <c r="Y34" i="4"/>
  <c r="X34" i="4"/>
  <c r="U34" i="4"/>
  <c r="T34" i="4"/>
  <c r="Q34" i="4"/>
  <c r="P34" i="4"/>
  <c r="M34" i="4"/>
  <c r="L34" i="4"/>
  <c r="I34" i="4"/>
  <c r="H34" i="4"/>
  <c r="E34" i="4"/>
  <c r="D34" i="4"/>
  <c r="AT33" i="4"/>
  <c r="AP33" i="4"/>
  <c r="AO33" i="4"/>
  <c r="AM33" i="4"/>
  <c r="AN33" i="4" s="1"/>
  <c r="I33" i="4"/>
  <c r="F33" i="4"/>
  <c r="H33" i="4" s="1"/>
  <c r="C33" i="4"/>
  <c r="AU32" i="4"/>
  <c r="AW32" i="4" s="1"/>
  <c r="AS32" i="4"/>
  <c r="AR32" i="4"/>
  <c r="AQ32" i="4"/>
  <c r="AO32" i="4"/>
  <c r="AM32" i="4"/>
  <c r="AL32" i="4"/>
  <c r="AN32" i="4" s="1"/>
  <c r="AK32" i="4"/>
  <c r="AI32" i="4"/>
  <c r="AJ32" i="4" s="1"/>
  <c r="AH32" i="4"/>
  <c r="AE32" i="4"/>
  <c r="AG32" i="4" s="1"/>
  <c r="AD32" i="4"/>
  <c r="AA32" i="4"/>
  <c r="Z32" i="4"/>
  <c r="Y32" i="4"/>
  <c r="W32" i="4"/>
  <c r="V32" i="4"/>
  <c r="V33" i="4" s="1"/>
  <c r="S32" i="4"/>
  <c r="R32" i="4"/>
  <c r="O32" i="4"/>
  <c r="N32" i="4"/>
  <c r="K32" i="4"/>
  <c r="J32" i="4"/>
  <c r="L32" i="4" s="1"/>
  <c r="G32" i="4"/>
  <c r="G33" i="4" s="1"/>
  <c r="F32" i="4"/>
  <c r="H32" i="4" s="1"/>
  <c r="C32" i="4"/>
  <c r="E32" i="4" s="1"/>
  <c r="B32" i="4"/>
  <c r="AU31" i="4"/>
  <c r="AQ31" i="4"/>
  <c r="AM31" i="4"/>
  <c r="AO31" i="4" s="1"/>
  <c r="AL31" i="4"/>
  <c r="AL33" i="4" s="1"/>
  <c r="AK31" i="4"/>
  <c r="AI31" i="4"/>
  <c r="AH31" i="4"/>
  <c r="AJ31" i="4" s="1"/>
  <c r="AE31" i="4"/>
  <c r="AD31" i="4"/>
  <c r="AA31" i="4"/>
  <c r="AC31" i="4" s="1"/>
  <c r="Z31" i="4"/>
  <c r="W31" i="4"/>
  <c r="Y31" i="4" s="1"/>
  <c r="V31" i="4"/>
  <c r="U31" i="4"/>
  <c r="S31" i="4"/>
  <c r="S33" i="4" s="1"/>
  <c r="R31" i="4"/>
  <c r="T31" i="4" s="1"/>
  <c r="Q31" i="4"/>
  <c r="O31" i="4"/>
  <c r="N31" i="4"/>
  <c r="N33" i="4" s="1"/>
  <c r="K31" i="4"/>
  <c r="J31" i="4"/>
  <c r="I31" i="4"/>
  <c r="H31" i="4"/>
  <c r="G31" i="4"/>
  <c r="F31" i="4"/>
  <c r="E31" i="4"/>
  <c r="C31" i="4"/>
  <c r="B31" i="4"/>
  <c r="D31" i="4" s="1"/>
  <c r="AY30" i="4"/>
  <c r="BA30" i="4" s="1"/>
  <c r="AX30" i="4"/>
  <c r="AZ30" i="4" s="1"/>
  <c r="AW30" i="4"/>
  <c r="AV30" i="4"/>
  <c r="AS30" i="4"/>
  <c r="AR30" i="4"/>
  <c r="AO30" i="4"/>
  <c r="AN30" i="4"/>
  <c r="AK30" i="4"/>
  <c r="AH30" i="4"/>
  <c r="AG30" i="4"/>
  <c r="AF30" i="4"/>
  <c r="AC30" i="4"/>
  <c r="AB30" i="4"/>
  <c r="Z30" i="4"/>
  <c r="Y30" i="4"/>
  <c r="X30" i="4"/>
  <c r="V30" i="4"/>
  <c r="U30" i="4"/>
  <c r="T30" i="4"/>
  <c r="Q30" i="4"/>
  <c r="P30" i="4"/>
  <c r="M30" i="4"/>
  <c r="L30" i="4"/>
  <c r="I30" i="4"/>
  <c r="H30" i="4"/>
  <c r="E30" i="4"/>
  <c r="B30" i="4"/>
  <c r="D30" i="4" s="1"/>
  <c r="AU29" i="4"/>
  <c r="AT29" i="4"/>
  <c r="AP29" i="4"/>
  <c r="AM29" i="4"/>
  <c r="AL29" i="4"/>
  <c r="AI29" i="4"/>
  <c r="AE29" i="4"/>
  <c r="AD29" i="4"/>
  <c r="W29" i="4"/>
  <c r="C29" i="4"/>
  <c r="B29" i="4"/>
  <c r="AV28" i="4"/>
  <c r="AU28" i="4"/>
  <c r="AW28" i="4" s="1"/>
  <c r="AS28" i="4"/>
  <c r="AQ28" i="4"/>
  <c r="AR28" i="4" s="1"/>
  <c r="AO28" i="4"/>
  <c r="AN28" i="4"/>
  <c r="AM28" i="4"/>
  <c r="AJ28" i="4"/>
  <c r="AI28" i="4"/>
  <c r="AK28" i="4" s="1"/>
  <c r="AE28" i="4"/>
  <c r="AD28" i="4"/>
  <c r="AC28" i="4"/>
  <c r="AA28" i="4"/>
  <c r="AB28" i="4" s="1"/>
  <c r="X28" i="4"/>
  <c r="W28" i="4"/>
  <c r="Y28" i="4" s="1"/>
  <c r="S28" i="4"/>
  <c r="Q28" i="4"/>
  <c r="P28" i="4"/>
  <c r="O28" i="4"/>
  <c r="K28" i="4"/>
  <c r="L28" i="4" s="1"/>
  <c r="G28" i="4"/>
  <c r="H28" i="4" s="1"/>
  <c r="E28" i="4"/>
  <c r="C28" i="4"/>
  <c r="AX27" i="4"/>
  <c r="AW27" i="4"/>
  <c r="AU27" i="4"/>
  <c r="AV27" i="4" s="1"/>
  <c r="AR27" i="4"/>
  <c r="AQ27" i="4"/>
  <c r="AS27" i="4" s="1"/>
  <c r="AO27" i="4"/>
  <c r="AN27" i="4"/>
  <c r="AM27" i="4"/>
  <c r="AK27" i="4"/>
  <c r="AJ27" i="4"/>
  <c r="AI27" i="4"/>
  <c r="AG27" i="4"/>
  <c r="AF27" i="4"/>
  <c r="AE27" i="4"/>
  <c r="AC27" i="4"/>
  <c r="AB27" i="4"/>
  <c r="AA27" i="4"/>
  <c r="W27" i="4"/>
  <c r="Y27" i="4" s="1"/>
  <c r="T27" i="4"/>
  <c r="S27" i="4"/>
  <c r="U27" i="4" s="1"/>
  <c r="Q27" i="4"/>
  <c r="O27" i="4"/>
  <c r="P27" i="4" s="1"/>
  <c r="K27" i="4"/>
  <c r="I27" i="4"/>
  <c r="H27" i="4"/>
  <c r="G27" i="4"/>
  <c r="E27" i="4"/>
  <c r="D27" i="4"/>
  <c r="C27" i="4"/>
  <c r="AW26" i="4"/>
  <c r="AV26" i="4"/>
  <c r="AU26" i="4"/>
  <c r="AQ26" i="4"/>
  <c r="AO26" i="4"/>
  <c r="AN26" i="4"/>
  <c r="AM26" i="4"/>
  <c r="AI26" i="4"/>
  <c r="AH26" i="4"/>
  <c r="AE26" i="4"/>
  <c r="AD26" i="4"/>
  <c r="AA26" i="4"/>
  <c r="AB26" i="4" s="1"/>
  <c r="Z26" i="4"/>
  <c r="Z29" i="4" s="1"/>
  <c r="Y26" i="4"/>
  <c r="W26" i="4"/>
  <c r="V26" i="4"/>
  <c r="X26" i="4" s="1"/>
  <c r="S26" i="4"/>
  <c r="T26" i="4" s="1"/>
  <c r="R26" i="4"/>
  <c r="O26" i="4"/>
  <c r="N26" i="4"/>
  <c r="K26" i="4"/>
  <c r="J26" i="4"/>
  <c r="I26" i="4"/>
  <c r="G26" i="4"/>
  <c r="G29" i="4" s="1"/>
  <c r="F26" i="4"/>
  <c r="AX26" i="4" s="1"/>
  <c r="E26" i="4"/>
  <c r="C26" i="4"/>
  <c r="B26" i="4"/>
  <c r="D26" i="4" s="1"/>
  <c r="AY25" i="4"/>
  <c r="BA25" i="4" s="1"/>
  <c r="AW25" i="4"/>
  <c r="AV25" i="4"/>
  <c r="AS25" i="4"/>
  <c r="AR25" i="4"/>
  <c r="AO25" i="4"/>
  <c r="AN25" i="4"/>
  <c r="AK25" i="4"/>
  <c r="AH25" i="4"/>
  <c r="AJ25" i="4" s="1"/>
  <c r="AG25" i="4"/>
  <c r="AD25" i="4"/>
  <c r="AF25" i="4" s="1"/>
  <c r="AC25" i="4"/>
  <c r="AB25" i="4"/>
  <c r="Z25" i="4"/>
  <c r="Y25" i="4"/>
  <c r="X25" i="4"/>
  <c r="V25" i="4"/>
  <c r="V29" i="4" s="1"/>
  <c r="U25" i="4"/>
  <c r="R25" i="4"/>
  <c r="Q25" i="4"/>
  <c r="N25" i="4"/>
  <c r="N29" i="4" s="1"/>
  <c r="M25" i="4"/>
  <c r="L25" i="4"/>
  <c r="J25" i="4"/>
  <c r="I25" i="4"/>
  <c r="F25" i="4"/>
  <c r="H25" i="4" s="1"/>
  <c r="E25" i="4"/>
  <c r="D25" i="4"/>
  <c r="B25" i="4"/>
  <c r="BA24" i="4"/>
  <c r="AZ24" i="4"/>
  <c r="AY24" i="4"/>
  <c r="AX24" i="4"/>
  <c r="AW24" i="4"/>
  <c r="AV24" i="4"/>
  <c r="AS24" i="4"/>
  <c r="AR24" i="4"/>
  <c r="AO24" i="4"/>
  <c r="AN24" i="4"/>
  <c r="AK24" i="4"/>
  <c r="AJ24" i="4"/>
  <c r="AG24" i="4"/>
  <c r="AF24" i="4"/>
  <c r="AC24" i="4"/>
  <c r="AB24" i="4"/>
  <c r="Y24" i="4"/>
  <c r="X24" i="4"/>
  <c r="U24" i="4"/>
  <c r="T24" i="4"/>
  <c r="Q24" i="4"/>
  <c r="P24" i="4"/>
  <c r="M24" i="4"/>
  <c r="L24" i="4"/>
  <c r="I24" i="4"/>
  <c r="H24" i="4"/>
  <c r="E24" i="4"/>
  <c r="D24" i="4"/>
  <c r="AT21" i="4"/>
  <c r="AT22" i="4" s="1"/>
  <c r="AW20" i="4"/>
  <c r="AU20" i="4"/>
  <c r="AV20" i="4" s="1"/>
  <c r="AQ20" i="4"/>
  <c r="AS20" i="4" s="1"/>
  <c r="AO20" i="4"/>
  <c r="AN20" i="4"/>
  <c r="AM20" i="4"/>
  <c r="AI20" i="4"/>
  <c r="AH20" i="4"/>
  <c r="AJ20" i="4" s="1"/>
  <c r="AG20" i="4"/>
  <c r="AF20" i="4"/>
  <c r="AE20" i="4"/>
  <c r="AD20" i="4"/>
  <c r="AA20" i="4"/>
  <c r="Z20" i="4"/>
  <c r="AB20" i="4" s="1"/>
  <c r="X20" i="4"/>
  <c r="W20" i="4"/>
  <c r="V20" i="4"/>
  <c r="U20" i="4"/>
  <c r="T20" i="4"/>
  <c r="S20" i="4"/>
  <c r="R20" i="4"/>
  <c r="O20" i="4"/>
  <c r="N20" i="4"/>
  <c r="P20" i="4" s="1"/>
  <c r="M20" i="4"/>
  <c r="L20" i="4"/>
  <c r="K20" i="4"/>
  <c r="J20" i="4"/>
  <c r="G20" i="4"/>
  <c r="I20" i="4" s="1"/>
  <c r="F20" i="4"/>
  <c r="H20" i="4" s="1"/>
  <c r="D20" i="4"/>
  <c r="C20" i="4"/>
  <c r="B20" i="4"/>
  <c r="AU19" i="4"/>
  <c r="AQ19" i="4"/>
  <c r="AM19" i="4"/>
  <c r="AO19" i="4" s="1"/>
  <c r="AI19" i="4"/>
  <c r="AH19" i="4"/>
  <c r="AJ19" i="4" s="1"/>
  <c r="AE19" i="4"/>
  <c r="AD19" i="4"/>
  <c r="AF19" i="4" s="1"/>
  <c r="AA19" i="4"/>
  <c r="AC19" i="4" s="1"/>
  <c r="Z19" i="4"/>
  <c r="W19" i="4"/>
  <c r="V19" i="4"/>
  <c r="X19" i="4" s="1"/>
  <c r="S19" i="4"/>
  <c r="U19" i="4" s="1"/>
  <c r="R19" i="4"/>
  <c r="Q19" i="4"/>
  <c r="O19" i="4"/>
  <c r="N19" i="4"/>
  <c r="P19" i="4" s="1"/>
  <c r="M19" i="4"/>
  <c r="K19" i="4"/>
  <c r="J19" i="4"/>
  <c r="L19" i="4" s="1"/>
  <c r="G19" i="4"/>
  <c r="F19" i="4"/>
  <c r="H19" i="4" s="1"/>
  <c r="C19" i="4"/>
  <c r="E19" i="4" s="1"/>
  <c r="B19" i="4"/>
  <c r="AY18" i="4"/>
  <c r="AW18" i="4"/>
  <c r="AV18" i="4"/>
  <c r="AU18" i="4"/>
  <c r="AQ18" i="4"/>
  <c r="AM18" i="4"/>
  <c r="AO18" i="4" s="1"/>
  <c r="AI18" i="4"/>
  <c r="AK18" i="4" s="1"/>
  <c r="AH18" i="4"/>
  <c r="AE18" i="4"/>
  <c r="AG18" i="4" s="1"/>
  <c r="AD18" i="4"/>
  <c r="AF18" i="4" s="1"/>
  <c r="AA18" i="4"/>
  <c r="Z18" i="4"/>
  <c r="AB18" i="4" s="1"/>
  <c r="Y18" i="4"/>
  <c r="X18" i="4"/>
  <c r="W18" i="4"/>
  <c r="V18" i="4"/>
  <c r="T18" i="4"/>
  <c r="S18" i="4"/>
  <c r="R18" i="4"/>
  <c r="O18" i="4"/>
  <c r="Q18" i="4" s="1"/>
  <c r="N18" i="4"/>
  <c r="M18" i="4"/>
  <c r="K18" i="4"/>
  <c r="J18" i="4"/>
  <c r="L18" i="4" s="1"/>
  <c r="G18" i="4"/>
  <c r="I18" i="4" s="1"/>
  <c r="F18" i="4"/>
  <c r="H18" i="4" s="1"/>
  <c r="C18" i="4"/>
  <c r="B18" i="4"/>
  <c r="AV17" i="4"/>
  <c r="AU17" i="4"/>
  <c r="AW17" i="4" s="1"/>
  <c r="AQ17" i="4"/>
  <c r="AS17" i="4" s="1"/>
  <c r="AO17" i="4"/>
  <c r="AN17" i="4"/>
  <c r="AM17" i="4"/>
  <c r="AI17" i="4"/>
  <c r="AK17" i="4" s="1"/>
  <c r="AH17" i="4"/>
  <c r="AG17" i="4"/>
  <c r="AF17" i="4"/>
  <c r="AE17" i="4"/>
  <c r="AD17" i="4"/>
  <c r="AB17" i="4"/>
  <c r="AA17" i="4"/>
  <c r="AC17" i="4" s="1"/>
  <c r="Z17" i="4"/>
  <c r="W17" i="4"/>
  <c r="V17" i="4"/>
  <c r="U17" i="4"/>
  <c r="S17" i="4"/>
  <c r="T17" i="4" s="1"/>
  <c r="R17" i="4"/>
  <c r="Q17" i="4"/>
  <c r="O17" i="4"/>
  <c r="N17" i="4"/>
  <c r="P17" i="4" s="1"/>
  <c r="M17" i="4"/>
  <c r="L17" i="4"/>
  <c r="K17" i="4"/>
  <c r="G17" i="4"/>
  <c r="I17" i="4" s="1"/>
  <c r="F17" i="4"/>
  <c r="H17" i="4" s="1"/>
  <c r="C17" i="4"/>
  <c r="B17" i="4"/>
  <c r="AU16" i="4"/>
  <c r="AQ16" i="4"/>
  <c r="AS16" i="4" s="1"/>
  <c r="AO16" i="4"/>
  <c r="AN16" i="4"/>
  <c r="AM16" i="4"/>
  <c r="AI16" i="4"/>
  <c r="AK16" i="4" s="1"/>
  <c r="AH16" i="4"/>
  <c r="AG16" i="4"/>
  <c r="AE16" i="4"/>
  <c r="AF16" i="4" s="1"/>
  <c r="AB16" i="4"/>
  <c r="AA16" i="4"/>
  <c r="AC16" i="4" s="1"/>
  <c r="Z16" i="4"/>
  <c r="W16" i="4"/>
  <c r="V16" i="4"/>
  <c r="X16" i="4" s="1"/>
  <c r="S16" i="4"/>
  <c r="R16" i="4"/>
  <c r="Q16" i="4"/>
  <c r="O16" i="4"/>
  <c r="N16" i="4"/>
  <c r="P16" i="4" s="1"/>
  <c r="M16" i="4"/>
  <c r="K16" i="4"/>
  <c r="G16" i="4"/>
  <c r="H16" i="4" s="1"/>
  <c r="F16" i="4"/>
  <c r="E16" i="4"/>
  <c r="C16" i="4"/>
  <c r="B16" i="4"/>
  <c r="D16" i="4" s="1"/>
  <c r="AV15" i="4"/>
  <c r="AU15" i="4"/>
  <c r="AW15" i="4" s="1"/>
  <c r="AT15" i="4"/>
  <c r="AQ15" i="4"/>
  <c r="AS15" i="4" s="1"/>
  <c r="AP15" i="4"/>
  <c r="AR15" i="4" s="1"/>
  <c r="AM15" i="4"/>
  <c r="AO15" i="4" s="1"/>
  <c r="AL15" i="4"/>
  <c r="AN15" i="4" s="1"/>
  <c r="AI15" i="4"/>
  <c r="AI21" i="4" s="1"/>
  <c r="AI22" i="4" s="1"/>
  <c r="AH15" i="4"/>
  <c r="AE15" i="4"/>
  <c r="AG15" i="4" s="1"/>
  <c r="AD15" i="4"/>
  <c r="AA15" i="4"/>
  <c r="AC15" i="4" s="1"/>
  <c r="Z15" i="4"/>
  <c r="AB15" i="4" s="1"/>
  <c r="W15" i="4"/>
  <c r="Y15" i="4" s="1"/>
  <c r="V15" i="4"/>
  <c r="X15" i="4" s="1"/>
  <c r="S15" i="4"/>
  <c r="U15" i="4" s="1"/>
  <c r="R15" i="4"/>
  <c r="T15" i="4" s="1"/>
  <c r="O15" i="4"/>
  <c r="Q15" i="4" s="1"/>
  <c r="N15" i="4"/>
  <c r="P15" i="4" s="1"/>
  <c r="K15" i="4"/>
  <c r="M15" i="4" s="1"/>
  <c r="J15" i="4"/>
  <c r="L15" i="4" s="1"/>
  <c r="G15" i="4"/>
  <c r="F15" i="4"/>
  <c r="E15" i="4"/>
  <c r="C15" i="4"/>
  <c r="B15" i="4"/>
  <c r="D15" i="4" s="1"/>
  <c r="BA14" i="4"/>
  <c r="AY14" i="4"/>
  <c r="AW14" i="4"/>
  <c r="AV14" i="4"/>
  <c r="AS14" i="4"/>
  <c r="AR14" i="4"/>
  <c r="AO14" i="4"/>
  <c r="AN14" i="4"/>
  <c r="AK14" i="4"/>
  <c r="AJ14" i="4"/>
  <c r="AG14" i="4"/>
  <c r="AF14" i="4"/>
  <c r="AC14" i="4"/>
  <c r="AB14" i="4"/>
  <c r="Y14" i="4"/>
  <c r="X14" i="4"/>
  <c r="U14" i="4"/>
  <c r="T14" i="4"/>
  <c r="Q14" i="4"/>
  <c r="P14" i="4"/>
  <c r="M14" i="4"/>
  <c r="J14" i="4"/>
  <c r="AX14" i="4" s="1"/>
  <c r="AZ14" i="4" s="1"/>
  <c r="I14" i="4"/>
  <c r="H14" i="4"/>
  <c r="E14" i="4"/>
  <c r="D14" i="4"/>
  <c r="AY13" i="4"/>
  <c r="BA13" i="4" s="1"/>
  <c r="AX13" i="4"/>
  <c r="AZ13" i="4" s="1"/>
  <c r="AW13" i="4"/>
  <c r="AV13" i="4"/>
  <c r="AS13" i="4"/>
  <c r="AR13" i="4"/>
  <c r="AO13" i="4"/>
  <c r="AN13" i="4"/>
  <c r="AK13" i="4"/>
  <c r="AJ13" i="4"/>
  <c r="AG13" i="4"/>
  <c r="AF13" i="4"/>
  <c r="AC13" i="4"/>
  <c r="AB13" i="4"/>
  <c r="Y13" i="4"/>
  <c r="X13" i="4"/>
  <c r="U13" i="4"/>
  <c r="T13" i="4"/>
  <c r="Q13" i="4"/>
  <c r="P13" i="4"/>
  <c r="M13" i="4"/>
  <c r="L13" i="4"/>
  <c r="I13" i="4"/>
  <c r="H13" i="4"/>
  <c r="E13" i="4"/>
  <c r="D13" i="4"/>
  <c r="AU12" i="4"/>
  <c r="AT12" i="4"/>
  <c r="AP12" i="4"/>
  <c r="AP21" i="4" s="1"/>
  <c r="AL12" i="4"/>
  <c r="AK12" i="4"/>
  <c r="AJ12" i="4"/>
  <c r="AI12" i="4"/>
  <c r="AH12" i="4"/>
  <c r="AD12" i="4"/>
  <c r="AA12" i="4"/>
  <c r="Z12" i="4"/>
  <c r="W12" i="4"/>
  <c r="U12" i="4"/>
  <c r="S12" i="4"/>
  <c r="N12" i="4"/>
  <c r="J12" i="4"/>
  <c r="H12" i="4"/>
  <c r="G12" i="4"/>
  <c r="F12" i="4"/>
  <c r="C12" i="4"/>
  <c r="BA11" i="4"/>
  <c r="AY11" i="4"/>
  <c r="AW11" i="4"/>
  <c r="AV11" i="4"/>
  <c r="AS11" i="4"/>
  <c r="AR11" i="4"/>
  <c r="AO11" i="4"/>
  <c r="AN11" i="4"/>
  <c r="AK11" i="4"/>
  <c r="AJ11" i="4"/>
  <c r="AG11" i="4"/>
  <c r="AF11" i="4"/>
  <c r="AC11" i="4"/>
  <c r="AB11" i="4"/>
  <c r="Y11" i="4"/>
  <c r="X11" i="4"/>
  <c r="V11" i="4"/>
  <c r="U11" i="4"/>
  <c r="T11" i="4"/>
  <c r="Q11" i="4"/>
  <c r="P11" i="4"/>
  <c r="M11" i="4"/>
  <c r="L11" i="4"/>
  <c r="I11" i="4"/>
  <c r="H11" i="4"/>
  <c r="E11" i="4"/>
  <c r="D11" i="4"/>
  <c r="AX10" i="4"/>
  <c r="AV10" i="4"/>
  <c r="AU10" i="4"/>
  <c r="AW10" i="4" s="1"/>
  <c r="AR10" i="4"/>
  <c r="AQ10" i="4"/>
  <c r="AS10" i="4" s="1"/>
  <c r="AM10" i="4"/>
  <c r="AO10" i="4" s="1"/>
  <c r="AK10" i="4"/>
  <c r="AI10" i="4"/>
  <c r="AJ10" i="4" s="1"/>
  <c r="AF10" i="4"/>
  <c r="AE10" i="4"/>
  <c r="AG10" i="4" s="1"/>
  <c r="AC10" i="4"/>
  <c r="AB10" i="4"/>
  <c r="AA10" i="4"/>
  <c r="Y10" i="4"/>
  <c r="W10" i="4"/>
  <c r="X10" i="4" s="1"/>
  <c r="U10" i="4"/>
  <c r="T10" i="4"/>
  <c r="S10" i="4"/>
  <c r="P10" i="4"/>
  <c r="O10" i="4"/>
  <c r="Q10" i="4" s="1"/>
  <c r="M10" i="4"/>
  <c r="L10" i="4"/>
  <c r="K10" i="4"/>
  <c r="G10" i="4"/>
  <c r="I10" i="4" s="1"/>
  <c r="E10" i="4"/>
  <c r="D10" i="4"/>
  <c r="C10" i="4"/>
  <c r="AZ9" i="4"/>
  <c r="AY9" i="4"/>
  <c r="BA9" i="4" s="1"/>
  <c r="AX9" i="4"/>
  <c r="AU9" i="4"/>
  <c r="AQ9" i="4"/>
  <c r="AO9" i="4"/>
  <c r="AN9" i="4"/>
  <c r="AM9" i="4"/>
  <c r="AK9" i="4"/>
  <c r="AJ9" i="4"/>
  <c r="AI9" i="4"/>
  <c r="AE9" i="4"/>
  <c r="AC9" i="4"/>
  <c r="AB9" i="4"/>
  <c r="AA9" i="4"/>
  <c r="Y9" i="4"/>
  <c r="X9" i="4"/>
  <c r="W9" i="4"/>
  <c r="U9" i="4"/>
  <c r="T9" i="4"/>
  <c r="S9" i="4"/>
  <c r="P9" i="4"/>
  <c r="O9" i="4"/>
  <c r="M9" i="4"/>
  <c r="K9" i="4"/>
  <c r="K12" i="4" s="1"/>
  <c r="I9" i="4"/>
  <c r="G9" i="4"/>
  <c r="H9" i="4" s="1"/>
  <c r="D9" i="4"/>
  <c r="C9" i="4"/>
  <c r="E9" i="4" s="1"/>
  <c r="AY8" i="4"/>
  <c r="BA8" i="4" s="1"/>
  <c r="AW8" i="4"/>
  <c r="AV8" i="4"/>
  <c r="AS8" i="4"/>
  <c r="AR8" i="4"/>
  <c r="AO8" i="4"/>
  <c r="AN8" i="4"/>
  <c r="AK8" i="4"/>
  <c r="AJ8" i="4"/>
  <c r="AG8" i="4"/>
  <c r="AF8" i="4"/>
  <c r="AC8" i="4"/>
  <c r="AB8" i="4"/>
  <c r="Y8" i="4"/>
  <c r="V8" i="4"/>
  <c r="X8" i="4" s="1"/>
  <c r="U8" i="4"/>
  <c r="R8" i="4"/>
  <c r="R12" i="4" s="1"/>
  <c r="T12" i="4" s="1"/>
  <c r="Q8" i="4"/>
  <c r="P8" i="4"/>
  <c r="N8" i="4"/>
  <c r="M8" i="4"/>
  <c r="L8" i="4"/>
  <c r="I8" i="4"/>
  <c r="H8" i="4"/>
  <c r="F8" i="4"/>
  <c r="E8" i="4"/>
  <c r="B8" i="4"/>
  <c r="I19" i="4" l="1"/>
  <c r="U84" i="4"/>
  <c r="P25" i="4"/>
  <c r="AC26" i="4"/>
  <c r="AR51" i="4"/>
  <c r="AQ53" i="4"/>
  <c r="AS53" i="4" s="1"/>
  <c r="AX15" i="4"/>
  <c r="AZ15" i="4" s="1"/>
  <c r="H15" i="4"/>
  <c r="AG26" i="4"/>
  <c r="AF26" i="4"/>
  <c r="E33" i="4"/>
  <c r="AS51" i="4"/>
  <c r="AG52" i="4"/>
  <c r="H83" i="4"/>
  <c r="F86" i="4"/>
  <c r="H86" i="4" s="1"/>
  <c r="AY15" i="4"/>
  <c r="BA15" i="4" s="1"/>
  <c r="AR17" i="4"/>
  <c r="R29" i="4"/>
  <c r="T25" i="4"/>
  <c r="AI53" i="4"/>
  <c r="AK53" i="4" s="1"/>
  <c r="AJ52" i="4"/>
  <c r="D56" i="4"/>
  <c r="AX56" i="4"/>
  <c r="M67" i="4"/>
  <c r="L67" i="4"/>
  <c r="AY67" i="4"/>
  <c r="BA67" i="4" s="1"/>
  <c r="G86" i="4"/>
  <c r="I83" i="4"/>
  <c r="AB37" i="4"/>
  <c r="P44" i="4"/>
  <c r="AK52" i="4"/>
  <c r="X82" i="4"/>
  <c r="V86" i="4"/>
  <c r="X86" i="4" s="1"/>
  <c r="AW12" i="4"/>
  <c r="AU21" i="4"/>
  <c r="AV12" i="4"/>
  <c r="AZ26" i="4"/>
  <c r="AR36" i="4"/>
  <c r="X43" i="4"/>
  <c r="AY43" i="4"/>
  <c r="U44" i="4"/>
  <c r="T44" i="4"/>
  <c r="AG58" i="4"/>
  <c r="AE60" i="4"/>
  <c r="AF58" i="4"/>
  <c r="AC66" i="4"/>
  <c r="AW9" i="4"/>
  <c r="AV9" i="4"/>
  <c r="AB32" i="4"/>
  <c r="Z33" i="4"/>
  <c r="Y43" i="4"/>
  <c r="Z80" i="4"/>
  <c r="AC78" i="4"/>
  <c r="AB78" i="4"/>
  <c r="Q9" i="4"/>
  <c r="O12" i="4"/>
  <c r="F21" i="4"/>
  <c r="AA29" i="4"/>
  <c r="AC32" i="4"/>
  <c r="AA33" i="4"/>
  <c r="AC33" i="4" s="1"/>
  <c r="AV42" i="4"/>
  <c r="AU44" i="4"/>
  <c r="AK77" i="4"/>
  <c r="AI80" i="4"/>
  <c r="AK80" i="4" s="1"/>
  <c r="AY77" i="4"/>
  <c r="H94" i="4"/>
  <c r="AX11" i="4"/>
  <c r="AZ11" i="4" s="1"/>
  <c r="V12" i="4"/>
  <c r="Y17" i="4"/>
  <c r="X17" i="4"/>
  <c r="AF29" i="4"/>
  <c r="AX36" i="4"/>
  <c r="AZ36" i="4" s="1"/>
  <c r="L36" i="4"/>
  <c r="AG29" i="4"/>
  <c r="AZ42" i="4"/>
  <c r="AO77" i="4"/>
  <c r="AM80" i="4"/>
  <c r="AO80" i="4" s="1"/>
  <c r="AN77" i="4"/>
  <c r="E100" i="4"/>
  <c r="AV46" i="4"/>
  <c r="AW46" i="4"/>
  <c r="AU47" i="4"/>
  <c r="AY46" i="4"/>
  <c r="BA46" i="4" s="1"/>
  <c r="I16" i="4"/>
  <c r="AG19" i="4"/>
  <c r="C21" i="4"/>
  <c r="AY26" i="4"/>
  <c r="BA26" i="4" s="1"/>
  <c r="AS31" i="4"/>
  <c r="AR31" i="4"/>
  <c r="AQ33" i="4"/>
  <c r="AS33" i="4" s="1"/>
  <c r="Y48" i="4"/>
  <c r="X48" i="4"/>
  <c r="AY48" i="4"/>
  <c r="BA48" i="4" s="1"/>
  <c r="L16" i="4"/>
  <c r="K21" i="4"/>
  <c r="AR16" i="4"/>
  <c r="AX18" i="4"/>
  <c r="G21" i="4"/>
  <c r="AL101" i="4"/>
  <c r="AN29" i="4"/>
  <c r="AN40" i="4"/>
  <c r="AM44" i="4"/>
  <c r="AO40" i="4"/>
  <c r="U42" i="4"/>
  <c r="T42" i="4"/>
  <c r="I93" i="4"/>
  <c r="AY93" i="4"/>
  <c r="AS19" i="4"/>
  <c r="AR19" i="4"/>
  <c r="AK15" i="4"/>
  <c r="AY19" i="4"/>
  <c r="BA19" i="4" s="1"/>
  <c r="AV21" i="4"/>
  <c r="AB29" i="4"/>
  <c r="D72" i="4"/>
  <c r="U16" i="4"/>
  <c r="T16" i="4"/>
  <c r="L27" i="4"/>
  <c r="K29" i="4"/>
  <c r="AY27" i="4"/>
  <c r="BA27" i="4" s="1"/>
  <c r="M27" i="4"/>
  <c r="AV59" i="4"/>
  <c r="AW59" i="4"/>
  <c r="E72" i="4"/>
  <c r="T84" i="4"/>
  <c r="R86" i="4"/>
  <c r="T86" i="4" s="1"/>
  <c r="AO85" i="4"/>
  <c r="X29" i="4"/>
  <c r="AK68" i="4"/>
  <c r="AJ68" i="4"/>
  <c r="W86" i="4"/>
  <c r="Y82" i="4"/>
  <c r="AK29" i="4"/>
  <c r="Y35" i="4"/>
  <c r="X35" i="4"/>
  <c r="AW76" i="4"/>
  <c r="AK21" i="4"/>
  <c r="AX28" i="4"/>
  <c r="AZ28" i="4" s="1"/>
  <c r="AG28" i="4"/>
  <c r="AF28" i="4"/>
  <c r="H40" i="4"/>
  <c r="F44" i="4"/>
  <c r="AS40" i="4"/>
  <c r="AR40" i="4"/>
  <c r="AQ44" i="4"/>
  <c r="AV60" i="4"/>
  <c r="E80" i="4"/>
  <c r="AX94" i="4"/>
  <c r="D94" i="4"/>
  <c r="B12" i="4"/>
  <c r="AX8" i="4"/>
  <c r="AZ8" i="4" s="1"/>
  <c r="D8" i="4"/>
  <c r="AL21" i="4"/>
  <c r="T92" i="4"/>
  <c r="E94" i="4"/>
  <c r="AF72" i="4"/>
  <c r="J21" i="4"/>
  <c r="AW16" i="4"/>
  <c r="AV16" i="4"/>
  <c r="AK26" i="4"/>
  <c r="AJ26" i="4"/>
  <c r="AZ27" i="4"/>
  <c r="AO29" i="4"/>
  <c r="AV31" i="4"/>
  <c r="AW31" i="4"/>
  <c r="AU33" i="4"/>
  <c r="AW33" i="4" s="1"/>
  <c r="AX52" i="4"/>
  <c r="AY54" i="4"/>
  <c r="AE72" i="4"/>
  <c r="AG72" i="4" s="1"/>
  <c r="AG66" i="4"/>
  <c r="AB75" i="4"/>
  <c r="AC75" i="4"/>
  <c r="AB82" i="4"/>
  <c r="AC82" i="4"/>
  <c r="AA86" i="4"/>
  <c r="Q85" i="4"/>
  <c r="AN10" i="4"/>
  <c r="P12" i="4"/>
  <c r="AF32" i="4"/>
  <c r="R33" i="4"/>
  <c r="T33" i="4" s="1"/>
  <c r="AF37" i="4"/>
  <c r="AG37" i="4"/>
  <c r="AE44" i="4"/>
  <c r="AG43" i="4"/>
  <c r="AM53" i="4"/>
  <c r="AO53" i="4" s="1"/>
  <c r="AO50" i="4"/>
  <c r="AN50" i="4"/>
  <c r="U51" i="4"/>
  <c r="E54" i="4"/>
  <c r="E60" i="4"/>
  <c r="L63" i="4"/>
  <c r="AF66" i="4"/>
  <c r="X67" i="4"/>
  <c r="Y67" i="4"/>
  <c r="V72" i="4"/>
  <c r="X72" i="4" s="1"/>
  <c r="Q83" i="4"/>
  <c r="P83" i="4"/>
  <c r="D91" i="4"/>
  <c r="AY91" i="4"/>
  <c r="BA91" i="4" s="1"/>
  <c r="I15" i="4"/>
  <c r="E18" i="4"/>
  <c r="D18" i="4"/>
  <c r="AW19" i="4"/>
  <c r="AV19" i="4"/>
  <c r="Y20" i="4"/>
  <c r="H26" i="4"/>
  <c r="AX32" i="4"/>
  <c r="R55" i="4"/>
  <c r="AF43" i="4"/>
  <c r="AS47" i="4"/>
  <c r="D52" i="4"/>
  <c r="H60" i="4"/>
  <c r="M63" i="4"/>
  <c r="U70" i="4"/>
  <c r="U71" i="4"/>
  <c r="T71" i="4"/>
  <c r="E91" i="4"/>
  <c r="P98" i="4"/>
  <c r="Q98" i="4"/>
  <c r="N100" i="4"/>
  <c r="P100" i="4" s="1"/>
  <c r="AV98" i="4"/>
  <c r="E17" i="4"/>
  <c r="AY17" i="4"/>
  <c r="D32" i="4"/>
  <c r="I35" i="4"/>
  <c r="H35" i="4"/>
  <c r="L41" i="4"/>
  <c r="AK43" i="4"/>
  <c r="I47" i="4"/>
  <c r="AV48" i="4"/>
  <c r="H53" i="4"/>
  <c r="G55" i="4"/>
  <c r="AR57" i="4"/>
  <c r="AS57" i="4"/>
  <c r="Y71" i="4"/>
  <c r="D17" i="4"/>
  <c r="AJ18" i="4"/>
  <c r="AC20" i="4"/>
  <c r="M28" i="4"/>
  <c r="AN37" i="4"/>
  <c r="AR44" i="4"/>
  <c r="N53" i="4"/>
  <c r="P53" i="4" s="1"/>
  <c r="P50" i="4"/>
  <c r="AW50" i="4"/>
  <c r="AU53" i="4"/>
  <c r="AW53" i="4" s="1"/>
  <c r="L54" i="4"/>
  <c r="AK58" i="4"/>
  <c r="AJ58" i="4"/>
  <c r="AK86" i="4"/>
  <c r="AI100" i="4"/>
  <c r="W21" i="4"/>
  <c r="T19" i="4"/>
  <c r="AX20" i="4"/>
  <c r="AZ20" i="4" s="1"/>
  <c r="N21" i="4"/>
  <c r="AX34" i="4"/>
  <c r="AZ34" i="4" s="1"/>
  <c r="U36" i="4"/>
  <c r="E37" i="4"/>
  <c r="AV44" i="4"/>
  <c r="AT55" i="4"/>
  <c r="L47" i="4"/>
  <c r="AX48" i="4"/>
  <c r="Q50" i="4"/>
  <c r="AV50" i="4"/>
  <c r="AY57" i="4"/>
  <c r="P61" i="4"/>
  <c r="AY61" i="4"/>
  <c r="BA61" i="4" s="1"/>
  <c r="AF62" i="4"/>
  <c r="P74" i="4"/>
  <c r="AY75" i="4"/>
  <c r="BA75" i="4" s="1"/>
  <c r="E75" i="4"/>
  <c r="D75" i="4"/>
  <c r="AV94" i="4"/>
  <c r="M97" i="4"/>
  <c r="AJ97" i="4"/>
  <c r="AJ99" i="4"/>
  <c r="D29" i="4"/>
  <c r="I37" i="4"/>
  <c r="H37" i="4"/>
  <c r="AG70" i="4"/>
  <c r="AF70" i="4"/>
  <c r="L35" i="4"/>
  <c r="U41" i="4"/>
  <c r="T41" i="4"/>
  <c r="AY41" i="4"/>
  <c r="BA41" i="4" s="1"/>
  <c r="S53" i="4"/>
  <c r="U53" i="4" s="1"/>
  <c r="T50" i="4"/>
  <c r="AK62" i="4"/>
  <c r="X63" i="4"/>
  <c r="AO75" i="4"/>
  <c r="AN75" i="4"/>
  <c r="AB87" i="4"/>
  <c r="AC87" i="4"/>
  <c r="AZ41" i="4"/>
  <c r="AB12" i="4"/>
  <c r="Z21" i="4"/>
  <c r="AN18" i="4"/>
  <c r="R21" i="4"/>
  <c r="E29" i="4"/>
  <c r="AA21" i="4"/>
  <c r="AC12" i="4"/>
  <c r="AS18" i="4"/>
  <c r="AR18" i="4"/>
  <c r="T28" i="4"/>
  <c r="U28" i="4"/>
  <c r="M32" i="4"/>
  <c r="AF40" i="4"/>
  <c r="AD44" i="4"/>
  <c r="T47" i="4"/>
  <c r="U50" i="4"/>
  <c r="M62" i="4"/>
  <c r="L62" i="4"/>
  <c r="T68" i="4"/>
  <c r="U68" i="4"/>
  <c r="AY68" i="4"/>
  <c r="BA68" i="4" s="1"/>
  <c r="L69" i="4"/>
  <c r="N80" i="4"/>
  <c r="P78" i="4"/>
  <c r="AC79" i="4"/>
  <c r="P18" i="4"/>
  <c r="V53" i="4"/>
  <c r="X50" i="4"/>
  <c r="G60" i="4"/>
  <c r="I58" i="4"/>
  <c r="H58" i="4"/>
  <c r="AN67" i="4"/>
  <c r="AO67" i="4"/>
  <c r="P72" i="4"/>
  <c r="AX43" i="4"/>
  <c r="AZ43" i="4" s="1"/>
  <c r="AJ43" i="4"/>
  <c r="AZ98" i="4"/>
  <c r="O29" i="4"/>
  <c r="Q26" i="4"/>
  <c r="P26" i="4"/>
  <c r="AX40" i="4"/>
  <c r="B44" i="4"/>
  <c r="AJ17" i="4"/>
  <c r="AH21" i="4"/>
  <c r="Y29" i="4"/>
  <c r="P32" i="4"/>
  <c r="Q32" i="4"/>
  <c r="AW35" i="4"/>
  <c r="AV35" i="4"/>
  <c r="AB36" i="4"/>
  <c r="C44" i="4"/>
  <c r="AY40" i="4"/>
  <c r="BA40" i="4" s="1"/>
  <c r="AJ40" i="4"/>
  <c r="AH44" i="4"/>
  <c r="AK42" i="4"/>
  <c r="AJ42" i="4"/>
  <c r="Q69" i="4"/>
  <c r="M75" i="4"/>
  <c r="L75" i="4"/>
  <c r="AW29" i="4"/>
  <c r="AY32" i="4"/>
  <c r="BA32" i="4" s="1"/>
  <c r="Y42" i="4"/>
  <c r="W44" i="4"/>
  <c r="K53" i="4"/>
  <c r="M50" i="4"/>
  <c r="AY52" i="4"/>
  <c r="BA52" i="4" s="1"/>
  <c r="I52" i="4"/>
  <c r="H52" i="4"/>
  <c r="AB89" i="4"/>
  <c r="AC89" i="4"/>
  <c r="Z94" i="4"/>
  <c r="AF12" i="4"/>
  <c r="M12" i="4"/>
  <c r="L12" i="4"/>
  <c r="AD33" i="4"/>
  <c r="AF33" i="4" s="1"/>
  <c r="AF31" i="4"/>
  <c r="Q35" i="4"/>
  <c r="AX35" i="4"/>
  <c r="AX37" i="4"/>
  <c r="D40" i="4"/>
  <c r="AI44" i="4"/>
  <c r="AA44" i="4"/>
  <c r="AC41" i="4"/>
  <c r="AI60" i="4"/>
  <c r="AG61" i="4"/>
  <c r="P69" i="4"/>
  <c r="AX69" i="4"/>
  <c r="AZ69" i="4" s="1"/>
  <c r="AS73" i="4"/>
  <c r="AR73" i="4"/>
  <c r="AY87" i="4"/>
  <c r="BA87" i="4" s="1"/>
  <c r="E87" i="4"/>
  <c r="L9" i="4"/>
  <c r="AS9" i="4"/>
  <c r="AR9" i="4"/>
  <c r="AQ12" i="4"/>
  <c r="L14" i="4"/>
  <c r="AJ16" i="4"/>
  <c r="AB19" i="4"/>
  <c r="AE33" i="4"/>
  <c r="AG31" i="4"/>
  <c r="B33" i="4"/>
  <c r="AY37" i="4"/>
  <c r="BA37" i="4" s="1"/>
  <c r="E40" i="4"/>
  <c r="AK40" i="4"/>
  <c r="AB41" i="4"/>
  <c r="AC50" i="4"/>
  <c r="AB50" i="4"/>
  <c r="AA53" i="4"/>
  <c r="U57" i="4"/>
  <c r="T57" i="4"/>
  <c r="D87" i="4"/>
  <c r="AB65" i="4"/>
  <c r="AA72" i="4"/>
  <c r="AC72" i="4" s="1"/>
  <c r="Y74" i="4"/>
  <c r="AV77" i="4"/>
  <c r="AU80" i="4"/>
  <c r="M85" i="4"/>
  <c r="K86" i="4"/>
  <c r="M86" i="4" s="1"/>
  <c r="AY10" i="4"/>
  <c r="U18" i="4"/>
  <c r="Y19" i="4"/>
  <c r="AY20" i="4"/>
  <c r="E20" i="4"/>
  <c r="K44" i="4"/>
  <c r="E52" i="4"/>
  <c r="E58" i="4"/>
  <c r="AY58" i="4"/>
  <c r="BA58" i="4" s="1"/>
  <c r="AK61" i="4"/>
  <c r="AC65" i="4"/>
  <c r="AG68" i="4"/>
  <c r="AC71" i="4"/>
  <c r="R72" i="4"/>
  <c r="T72" i="4" s="1"/>
  <c r="T76" i="4"/>
  <c r="E77" i="4"/>
  <c r="AW77" i="4"/>
  <c r="AY82" i="4"/>
  <c r="L85" i="4"/>
  <c r="G94" i="4"/>
  <c r="I94" i="4" s="1"/>
  <c r="AY89" i="4"/>
  <c r="BA89" i="4" s="1"/>
  <c r="AN99" i="4"/>
  <c r="AO99" i="4"/>
  <c r="AM100" i="4"/>
  <c r="M26" i="4"/>
  <c r="J29" i="4"/>
  <c r="L26" i="4"/>
  <c r="O44" i="4"/>
  <c r="Y50" i="4"/>
  <c r="W53" i="4"/>
  <c r="Y53" i="4" s="1"/>
  <c r="AY51" i="4"/>
  <c r="BA51" i="4" s="1"/>
  <c r="AO68" i="4"/>
  <c r="AN68" i="4"/>
  <c r="E70" i="4"/>
  <c r="AY70" i="4"/>
  <c r="D84" i="4"/>
  <c r="AY84" i="4"/>
  <c r="J94" i="4"/>
  <c r="L94" i="4" s="1"/>
  <c r="L89" i="4"/>
  <c r="M89" i="4"/>
  <c r="AC93" i="4"/>
  <c r="I12" i="4"/>
  <c r="AX17" i="4"/>
  <c r="AZ17" i="4" s="1"/>
  <c r="AX19" i="4"/>
  <c r="D19" i="4"/>
  <c r="AK20" i="4"/>
  <c r="AX25" i="4"/>
  <c r="AZ25" i="4" s="1"/>
  <c r="F29" i="4"/>
  <c r="AR29" i="4"/>
  <c r="AP101" i="4"/>
  <c r="AK37" i="4"/>
  <c r="Q40" i="4"/>
  <c r="AD53" i="4"/>
  <c r="X54" i="4"/>
  <c r="AX54" i="4"/>
  <c r="AZ54" i="4" s="1"/>
  <c r="I56" i="4"/>
  <c r="H56" i="4"/>
  <c r="R60" i="4"/>
  <c r="AW62" i="4"/>
  <c r="I68" i="4"/>
  <c r="D70" i="4"/>
  <c r="L79" i="4"/>
  <c r="E84" i="4"/>
  <c r="AJ84" i="4"/>
  <c r="C86" i="4"/>
  <c r="Q99" i="4"/>
  <c r="P99" i="4"/>
  <c r="U40" i="4"/>
  <c r="T40" i="4"/>
  <c r="AC63" i="4"/>
  <c r="X69" i="4"/>
  <c r="P75" i="4"/>
  <c r="H84" i="4"/>
  <c r="AX84" i="4"/>
  <c r="AZ84" i="4" s="1"/>
  <c r="U91" i="4"/>
  <c r="S94" i="4"/>
  <c r="U94" i="4" s="1"/>
  <c r="AF48" i="4"/>
  <c r="G53" i="4"/>
  <c r="I53" i="4" s="1"/>
  <c r="AV52" i="4"/>
  <c r="AU60" i="4"/>
  <c r="AW60" i="4" s="1"/>
  <c r="AG59" i="4"/>
  <c r="AF59" i="4"/>
  <c r="AR66" i="4"/>
  <c r="AC67" i="4"/>
  <c r="I70" i="4"/>
  <c r="AN71" i="4"/>
  <c r="U73" i="4"/>
  <c r="T73" i="4"/>
  <c r="AJ78" i="4"/>
  <c r="AF90" i="4"/>
  <c r="AG90" i="4"/>
  <c r="AE94" i="4"/>
  <c r="T91" i="4"/>
  <c r="E98" i="4"/>
  <c r="AY98" i="4"/>
  <c r="BA98" i="4" s="1"/>
  <c r="AF98" i="4"/>
  <c r="AE12" i="4"/>
  <c r="AG9" i="4"/>
  <c r="AF9" i="4"/>
  <c r="AC18" i="4"/>
  <c r="J33" i="4"/>
  <c r="L33" i="4" s="1"/>
  <c r="L31" i="4"/>
  <c r="U32" i="4"/>
  <c r="T32" i="4"/>
  <c r="M37" i="4"/>
  <c r="L37" i="4"/>
  <c r="J55" i="4"/>
  <c r="L44" i="4"/>
  <c r="AZ45" i="4"/>
  <c r="AI47" i="4"/>
  <c r="AK47" i="4" s="1"/>
  <c r="AK46" i="4"/>
  <c r="D50" i="4"/>
  <c r="B53" i="4"/>
  <c r="H51" i="4"/>
  <c r="AB54" i="4"/>
  <c r="AK56" i="4"/>
  <c r="X60" i="4"/>
  <c r="H65" i="4"/>
  <c r="G72" i="4"/>
  <c r="I72" i="4" s="1"/>
  <c r="AV66" i="4"/>
  <c r="AW66" i="4"/>
  <c r="AU72" i="4"/>
  <c r="AW72" i="4" s="1"/>
  <c r="P77" i="4"/>
  <c r="O80" i="4"/>
  <c r="Q80" i="4" s="1"/>
  <c r="AN80" i="4"/>
  <c r="AF83" i="4"/>
  <c r="AD86" i="4"/>
  <c r="AF86" i="4" s="1"/>
  <c r="AR87" i="4"/>
  <c r="AS87" i="4"/>
  <c r="AX89" i="4"/>
  <c r="AJ90" i="4"/>
  <c r="AV92" i="4"/>
  <c r="AW92" i="4"/>
  <c r="R100" i="4"/>
  <c r="T96" i="4"/>
  <c r="AX97" i="4"/>
  <c r="AZ97" i="4" s="1"/>
  <c r="D47" i="4"/>
  <c r="AX47" i="4"/>
  <c r="I51" i="4"/>
  <c r="AR53" i="4"/>
  <c r="AX58" i="4"/>
  <c r="AY71" i="4"/>
  <c r="BA71" i="4" s="1"/>
  <c r="T94" i="4"/>
  <c r="AK94" i="4"/>
  <c r="AK93" i="4"/>
  <c r="U96" i="4"/>
  <c r="S100" i="4"/>
  <c r="U100" i="4" s="1"/>
  <c r="AY97" i="4"/>
  <c r="I98" i="4"/>
  <c r="H98" i="4"/>
  <c r="AS26" i="4"/>
  <c r="AQ29" i="4"/>
  <c r="AR26" i="4"/>
  <c r="K33" i="4"/>
  <c r="AY33" i="4" s="1"/>
  <c r="T8" i="4"/>
  <c r="AY16" i="4"/>
  <c r="BA16" i="4" s="1"/>
  <c r="AK19" i="4"/>
  <c r="Q20" i="4"/>
  <c r="AR20" i="4"/>
  <c r="AP22" i="4"/>
  <c r="X27" i="4"/>
  <c r="AH33" i="4"/>
  <c r="AJ33" i="4" s="1"/>
  <c r="AJ30" i="4"/>
  <c r="X33" i="4"/>
  <c r="AV32" i="4"/>
  <c r="AC35" i="4"/>
  <c r="AB35" i="4"/>
  <c r="AY36" i="4"/>
  <c r="AF36" i="4"/>
  <c r="X40" i="4"/>
  <c r="E41" i="4"/>
  <c r="L42" i="4"/>
  <c r="E47" i="4"/>
  <c r="AO46" i="4"/>
  <c r="AM47" i="4"/>
  <c r="AO47" i="4" s="1"/>
  <c r="AN46" i="4"/>
  <c r="D48" i="4"/>
  <c r="AJ48" i="4"/>
  <c r="E50" i="4"/>
  <c r="AF54" i="4"/>
  <c r="AO56" i="4"/>
  <c r="AZ61" i="4"/>
  <c r="M65" i="4"/>
  <c r="K72" i="4"/>
  <c r="M72" i="4" s="1"/>
  <c r="AR65" i="4"/>
  <c r="AQ72" i="4"/>
  <c r="AS72" i="4" s="1"/>
  <c r="AX68" i="4"/>
  <c r="D71" i="4"/>
  <c r="AR71" i="4"/>
  <c r="AN74" i="4"/>
  <c r="E76" i="4"/>
  <c r="AY76" i="4"/>
  <c r="BA76" i="4" s="1"/>
  <c r="AJ76" i="4"/>
  <c r="K80" i="4"/>
  <c r="M80" i="4" s="1"/>
  <c r="D83" i="4"/>
  <c r="AX83" i="4"/>
  <c r="AK90" i="4"/>
  <c r="X99" i="4"/>
  <c r="Y99" i="4"/>
  <c r="D90" i="4"/>
  <c r="E90" i="4"/>
  <c r="W100" i="4"/>
  <c r="Y100" i="4" s="1"/>
  <c r="Y96" i="4"/>
  <c r="AD21" i="4"/>
  <c r="AF15" i="4"/>
  <c r="O33" i="4"/>
  <c r="AN31" i="4"/>
  <c r="AY35" i="4"/>
  <c r="BA35" i="4" s="1"/>
  <c r="D46" i="4"/>
  <c r="AJ53" i="4"/>
  <c r="T52" i="4"/>
  <c r="U52" i="4"/>
  <c r="AV53" i="4"/>
  <c r="U58" i="4"/>
  <c r="AY59" i="4"/>
  <c r="BA59" i="4" s="1"/>
  <c r="E59" i="4"/>
  <c r="D59" i="4"/>
  <c r="E71" i="4"/>
  <c r="AM72" i="4"/>
  <c r="AO72" i="4" s="1"/>
  <c r="AY79" i="4"/>
  <c r="BA79" i="4" s="1"/>
  <c r="AY83" i="4"/>
  <c r="BA83" i="4" s="1"/>
  <c r="AM12" i="4"/>
  <c r="AN12" i="4" s="1"/>
  <c r="AN19" i="4"/>
  <c r="U26" i="4"/>
  <c r="D28" i="4"/>
  <c r="AY28" i="4"/>
  <c r="S29" i="4"/>
  <c r="P31" i="4"/>
  <c r="X32" i="4"/>
  <c r="AI33" i="4"/>
  <c r="D35" i="4"/>
  <c r="I36" i="4"/>
  <c r="AJ36" i="4"/>
  <c r="Z44" i="4"/>
  <c r="AC40" i="4"/>
  <c r="Q42" i="4"/>
  <c r="P42" i="4"/>
  <c r="E46" i="4"/>
  <c r="X52" i="4"/>
  <c r="C53" i="4"/>
  <c r="AW56" i="4"/>
  <c r="AV56" i="4"/>
  <c r="AJ57" i="4"/>
  <c r="O72" i="4"/>
  <c r="Q72" i="4" s="1"/>
  <c r="Q65" i="4"/>
  <c r="AR72" i="4"/>
  <c r="M78" i="4"/>
  <c r="S86" i="4"/>
  <c r="U82" i="4"/>
  <c r="E83" i="4"/>
  <c r="O86" i="4"/>
  <c r="AS84" i="4"/>
  <c r="Q87" i="4"/>
  <c r="V94" i="4"/>
  <c r="X94" i="4" s="1"/>
  <c r="H93" i="4"/>
  <c r="AX93" i="4"/>
  <c r="AZ93" i="4" s="1"/>
  <c r="X96" i="4"/>
  <c r="AR98" i="4"/>
  <c r="AS98" i="4"/>
  <c r="AE100" i="4"/>
  <c r="AG100" i="4" s="1"/>
  <c r="Y16" i="4"/>
  <c r="AC57" i="4"/>
  <c r="AB57" i="4"/>
  <c r="Q63" i="4"/>
  <c r="AR90" i="4"/>
  <c r="AQ94" i="4"/>
  <c r="AS90" i="4"/>
  <c r="H10" i="4"/>
  <c r="S21" i="4"/>
  <c r="AX16" i="4"/>
  <c r="W33" i="4"/>
  <c r="Y33" i="4" s="1"/>
  <c r="X36" i="4"/>
  <c r="AN42" i="4"/>
  <c r="AR56" i="4"/>
  <c r="M58" i="4"/>
  <c r="U59" i="4"/>
  <c r="AN62" i="4"/>
  <c r="L71" i="4"/>
  <c r="M71" i="4"/>
  <c r="AR74" i="4"/>
  <c r="AV75" i="4"/>
  <c r="AD80" i="4"/>
  <c r="AF80" i="4" s="1"/>
  <c r="U85" i="4"/>
  <c r="AV85" i="4"/>
  <c r="AD94" i="4"/>
  <c r="AF94" i="4" s="1"/>
  <c r="AF89" i="4"/>
  <c r="AG93" i="4"/>
  <c r="AB96" i="4"/>
  <c r="W47" i="4"/>
  <c r="X46" i="4"/>
  <c r="AJ15" i="4"/>
  <c r="I28" i="4"/>
  <c r="AH29" i="4"/>
  <c r="M31" i="4"/>
  <c r="I32" i="4"/>
  <c r="AR52" i="4"/>
  <c r="AS52" i="4"/>
  <c r="D54" i="4"/>
  <c r="AF57" i="4"/>
  <c r="AR58" i="4"/>
  <c r="AX63" i="4"/>
  <c r="AZ63" i="4" s="1"/>
  <c r="AW69" i="4"/>
  <c r="AC70" i="4"/>
  <c r="AX71" i="4"/>
  <c r="U74" i="4"/>
  <c r="AV74" i="4"/>
  <c r="AW74" i="4"/>
  <c r="U75" i="4"/>
  <c r="AX75" i="4"/>
  <c r="AR77" i="4"/>
  <c r="U78" i="4"/>
  <c r="AE80" i="4"/>
  <c r="AX82" i="4"/>
  <c r="AZ82" i="4" s="1"/>
  <c r="P84" i="4"/>
  <c r="AE86" i="4"/>
  <c r="AJ87" i="4"/>
  <c r="AF96" i="4"/>
  <c r="AG96" i="4"/>
  <c r="AD100" i="4"/>
  <c r="AY99" i="4"/>
  <c r="BA99" i="4" s="1"/>
  <c r="AM86" i="4"/>
  <c r="AO82" i="4"/>
  <c r="AR86" i="4"/>
  <c r="B100" i="4"/>
  <c r="D96" i="4"/>
  <c r="AX79" i="4"/>
  <c r="AN82" i="4"/>
  <c r="L86" i="4"/>
  <c r="AO89" i="4"/>
  <c r="E96" i="4"/>
  <c r="AY42" i="4"/>
  <c r="BA42" i="4" s="1"/>
  <c r="E42" i="4"/>
  <c r="AB42" i="4"/>
  <c r="AY50" i="4"/>
  <c r="BA50" i="4" s="1"/>
  <c r="AN60" i="4"/>
  <c r="T61" i="4"/>
  <c r="U61" i="4"/>
  <c r="AY66" i="4"/>
  <c r="BA66" i="4" s="1"/>
  <c r="I66" i="4"/>
  <c r="AY74" i="4"/>
  <c r="BA74" i="4" s="1"/>
  <c r="T77" i="4"/>
  <c r="AX78" i="4"/>
  <c r="AZ78" i="4" s="1"/>
  <c r="B80" i="4"/>
  <c r="E79" i="4"/>
  <c r="AW87" i="4"/>
  <c r="P94" i="4"/>
  <c r="AZ90" i="4"/>
  <c r="L93" i="4"/>
  <c r="H96" i="4"/>
  <c r="F100" i="4"/>
  <c r="D79" i="4"/>
  <c r="X31" i="4"/>
  <c r="H42" i="4"/>
  <c r="P47" i="4"/>
  <c r="AJ59" i="4"/>
  <c r="AH60" i="4"/>
  <c r="AJ60" i="4" s="1"/>
  <c r="K60" i="4"/>
  <c r="M60" i="4" s="1"/>
  <c r="X61" i="4"/>
  <c r="AY62" i="4"/>
  <c r="BA62" i="4" s="1"/>
  <c r="E62" i="4"/>
  <c r="AF63" i="4"/>
  <c r="AX66" i="4"/>
  <c r="AK66" i="4"/>
  <c r="W72" i="4"/>
  <c r="Y68" i="4"/>
  <c r="E69" i="4"/>
  <c r="AX70" i="4"/>
  <c r="AZ70" i="4" s="1"/>
  <c r="AR70" i="4"/>
  <c r="X77" i="4"/>
  <c r="D78" i="4"/>
  <c r="H79" i="4"/>
  <c r="M82" i="4"/>
  <c r="X83" i="4"/>
  <c r="Y83" i="4"/>
  <c r="AU86" i="4"/>
  <c r="AW86" i="4" s="1"/>
  <c r="U87" i="4"/>
  <c r="X90" i="4"/>
  <c r="L91" i="4"/>
  <c r="P93" i="4"/>
  <c r="AW93" i="4"/>
  <c r="M57" i="4"/>
  <c r="L57" i="4"/>
  <c r="AX62" i="4"/>
  <c r="AI72" i="4"/>
  <c r="AF74" i="4"/>
  <c r="M76" i="4"/>
  <c r="N86" i="4"/>
  <c r="P86" i="4" s="1"/>
  <c r="P82" i="4"/>
  <c r="AV89" i="4"/>
  <c r="AU94" i="4"/>
  <c r="AW94" i="4" s="1"/>
  <c r="AM94" i="4"/>
  <c r="AO94" i="4" s="1"/>
  <c r="M96" i="4"/>
  <c r="L96" i="4"/>
  <c r="K100" i="4"/>
  <c r="M100" i="4" s="1"/>
  <c r="AX31" i="4"/>
  <c r="AY31" i="4"/>
  <c r="BA31" i="4" s="1"/>
  <c r="AB31" i="4"/>
  <c r="H41" i="4"/>
  <c r="AS48" i="4"/>
  <c r="AE53" i="4"/>
  <c r="AG53" i="4" s="1"/>
  <c r="AG50" i="4"/>
  <c r="T54" i="4"/>
  <c r="AW57" i="4"/>
  <c r="P60" i="4"/>
  <c r="AC61" i="4"/>
  <c r="AB61" i="4"/>
  <c r="AJ65" i="4"/>
  <c r="L66" i="4"/>
  <c r="T67" i="4"/>
  <c r="H69" i="4"/>
  <c r="P70" i="4"/>
  <c r="I74" i="4"/>
  <c r="AA80" i="4"/>
  <c r="AC80" i="4" s="1"/>
  <c r="AC77" i="4"/>
  <c r="Q82" i="4"/>
  <c r="U89" i="4"/>
  <c r="AW89" i="4"/>
  <c r="AZ91" i="4"/>
  <c r="AV96" i="4"/>
  <c r="AB100" i="4"/>
  <c r="AK71" i="4"/>
  <c r="AJ79" i="4"/>
  <c r="AH86" i="4"/>
  <c r="AJ86" i="4" s="1"/>
  <c r="AJ82" i="4"/>
  <c r="Y90" i="4"/>
  <c r="AB92" i="4"/>
  <c r="AC92" i="4"/>
  <c r="AV29" i="4"/>
  <c r="S47" i="4"/>
  <c r="U47" i="4" s="1"/>
  <c r="U66" i="4"/>
  <c r="AG76" i="4"/>
  <c r="X84" i="4"/>
  <c r="AA94" i="4"/>
  <c r="AC94" i="4" s="1"/>
  <c r="O100" i="4"/>
  <c r="AR100" i="4"/>
  <c r="D51" i="4"/>
  <c r="AY56" i="4"/>
  <c r="BA56" i="4" s="1"/>
  <c r="E56" i="4"/>
  <c r="AB56" i="4"/>
  <c r="AM60" i="4"/>
  <c r="AO60" i="4" s="1"/>
  <c r="X62" i="4"/>
  <c r="AX67" i="4"/>
  <c r="AK73" i="4"/>
  <c r="AJ73" i="4"/>
  <c r="Y78" i="4"/>
  <c r="T97" i="4"/>
  <c r="AV100" i="4"/>
  <c r="L83" i="4"/>
  <c r="AG84" i="4"/>
  <c r="Y89" i="4"/>
  <c r="E93" i="4"/>
  <c r="AN94" i="4"/>
  <c r="AB74" i="4"/>
  <c r="I78" i="4"/>
  <c r="G80" i="4"/>
  <c r="H80" i="4" s="1"/>
  <c r="E89" i="4"/>
  <c r="S60" i="4"/>
  <c r="U60" i="4" s="1"/>
  <c r="AZ65" i="4"/>
  <c r="X70" i="4"/>
  <c r="AJ74" i="4"/>
  <c r="Q78" i="4"/>
  <c r="W94" i="4"/>
  <c r="AX99" i="4"/>
  <c r="D99" i="4"/>
  <c r="AY69" i="4"/>
  <c r="AY85" i="4"/>
  <c r="AW58" i="4"/>
  <c r="E74" i="4"/>
  <c r="X92" i="4"/>
  <c r="AY92" i="4"/>
  <c r="BA92" i="4" s="1"/>
  <c r="Q89" i="4"/>
  <c r="AK89" i="4"/>
  <c r="E97" i="4"/>
  <c r="AN98" i="4"/>
  <c r="AX72" i="4" l="1"/>
  <c r="AY100" i="4"/>
  <c r="AV86" i="4"/>
  <c r="Z55" i="4"/>
  <c r="AB44" i="4"/>
  <c r="AZ83" i="4"/>
  <c r="AN47" i="4"/>
  <c r="L80" i="4"/>
  <c r="AJ29" i="4"/>
  <c r="AO100" i="4"/>
  <c r="AN100" i="4"/>
  <c r="M44" i="4"/>
  <c r="K55" i="4"/>
  <c r="M55" i="4" s="1"/>
  <c r="W22" i="4"/>
  <c r="Y21" i="4"/>
  <c r="AJ80" i="4"/>
  <c r="M94" i="4"/>
  <c r="AZ76" i="4"/>
  <c r="V21" i="4"/>
  <c r="X12" i="4"/>
  <c r="B21" i="4"/>
  <c r="AX12" i="4"/>
  <c r="D12" i="4"/>
  <c r="L72" i="4"/>
  <c r="Q29" i="4"/>
  <c r="O101" i="4"/>
  <c r="AF100" i="4"/>
  <c r="H29" i="4"/>
  <c r="AX29" i="4"/>
  <c r="BA77" i="4"/>
  <c r="AZ77" i="4"/>
  <c r="AY53" i="4"/>
  <c r="BA53" i="4" s="1"/>
  <c r="E53" i="4"/>
  <c r="AM55" i="4"/>
  <c r="AO44" i="4"/>
  <c r="AN44" i="4"/>
  <c r="AW47" i="4"/>
  <c r="AV47" i="4"/>
  <c r="AM21" i="4"/>
  <c r="AO12" i="4"/>
  <c r="AS12" i="4"/>
  <c r="AQ21" i="4"/>
  <c r="AZ46" i="4"/>
  <c r="AR101" i="4"/>
  <c r="AB21" i="4"/>
  <c r="Z22" i="4"/>
  <c r="I80" i="4"/>
  <c r="AY80" i="4"/>
  <c r="AZ31" i="4"/>
  <c r="Y86" i="4"/>
  <c r="AJ44" i="4"/>
  <c r="AH55" i="4"/>
  <c r="AJ55" i="4" s="1"/>
  <c r="G22" i="4"/>
  <c r="I21" i="4"/>
  <c r="BA63" i="4"/>
  <c r="AG60" i="4"/>
  <c r="AF60" i="4"/>
  <c r="AZ58" i="4"/>
  <c r="E86" i="4"/>
  <c r="AY86" i="4"/>
  <c r="BA86" i="4" s="1"/>
  <c r="AZ19" i="4"/>
  <c r="AC53" i="4"/>
  <c r="AB53" i="4"/>
  <c r="L60" i="4"/>
  <c r="AY72" i="4"/>
  <c r="BA72" i="4" s="1"/>
  <c r="AZ74" i="4"/>
  <c r="AN53" i="4"/>
  <c r="F55" i="4"/>
  <c r="H55" i="4" s="1"/>
  <c r="I44" i="4"/>
  <c r="H44" i="4"/>
  <c r="AK60" i="4"/>
  <c r="I60" i="4"/>
  <c r="AY60" i="4"/>
  <c r="BA60" i="4" s="1"/>
  <c r="AC86" i="4"/>
  <c r="AB86" i="4"/>
  <c r="AC29" i="4"/>
  <c r="AZ16" i="4"/>
  <c r="L100" i="4"/>
  <c r="Y47" i="4"/>
  <c r="X47" i="4"/>
  <c r="T100" i="4"/>
  <c r="BA20" i="4"/>
  <c r="AA55" i="4"/>
  <c r="AC55" i="4" s="1"/>
  <c r="AC44" i="4"/>
  <c r="O21" i="4"/>
  <c r="Q12" i="4"/>
  <c r="U86" i="4"/>
  <c r="AZ87" i="4"/>
  <c r="X53" i="4"/>
  <c r="Y94" i="4"/>
  <c r="U29" i="4"/>
  <c r="S101" i="4"/>
  <c r="U101" i="4" s="1"/>
  <c r="D86" i="4"/>
  <c r="AA22" i="4"/>
  <c r="AC21" i="4"/>
  <c r="N55" i="4"/>
  <c r="AZ79" i="4"/>
  <c r="AS94" i="4"/>
  <c r="AR94" i="4"/>
  <c r="Q33" i="4"/>
  <c r="P33" i="4"/>
  <c r="BA82" i="4"/>
  <c r="AZ37" i="4"/>
  <c r="AR33" i="4"/>
  <c r="AU22" i="4"/>
  <c r="AW21" i="4"/>
  <c r="AZ66" i="4"/>
  <c r="AZ89" i="4"/>
  <c r="AG94" i="4"/>
  <c r="AZ35" i="4"/>
  <c r="AU101" i="4"/>
  <c r="AW101" i="4" s="1"/>
  <c r="AY29" i="4"/>
  <c r="BA29" i="4" s="1"/>
  <c r="AZ32" i="4"/>
  <c r="AJ47" i="4"/>
  <c r="Q53" i="4"/>
  <c r="M29" i="4"/>
  <c r="E21" i="4"/>
  <c r="C22" i="4"/>
  <c r="AD101" i="4"/>
  <c r="AB80" i="4"/>
  <c r="R101" i="4"/>
  <c r="T29" i="4"/>
  <c r="AG44" i="4"/>
  <c r="AE55" i="4"/>
  <c r="U72" i="4"/>
  <c r="AZ18" i="4"/>
  <c r="BA18" i="4"/>
  <c r="N22" i="4"/>
  <c r="P21" i="4"/>
  <c r="AG86" i="4"/>
  <c r="AD55" i="4"/>
  <c r="AF44" i="4"/>
  <c r="AQ55" i="4"/>
  <c r="AS44" i="4"/>
  <c r="K22" i="4"/>
  <c r="M21" i="4"/>
  <c r="AW44" i="4"/>
  <c r="AU55" i="4"/>
  <c r="AW55" i="4" s="1"/>
  <c r="AT101" i="4"/>
  <c r="I29" i="4"/>
  <c r="Y12" i="4"/>
  <c r="S55" i="4"/>
  <c r="U55" i="4" s="1"/>
  <c r="Q86" i="4"/>
  <c r="J22" i="4"/>
  <c r="L21" i="4"/>
  <c r="AZ56" i="4"/>
  <c r="AK33" i="4"/>
  <c r="AY47" i="4"/>
  <c r="BA47" i="4" s="1"/>
  <c r="U21" i="4"/>
  <c r="S22" i="4"/>
  <c r="AZ50" i="4"/>
  <c r="AX86" i="4"/>
  <c r="D33" i="4"/>
  <c r="AX33" i="4"/>
  <c r="AZ33" i="4" s="1"/>
  <c r="AK44" i="4"/>
  <c r="AI55" i="4"/>
  <c r="AY94" i="4"/>
  <c r="BA94" i="4" s="1"/>
  <c r="U33" i="4"/>
  <c r="AZ67" i="4"/>
  <c r="AK72" i="4"/>
  <c r="AJ72" i="4"/>
  <c r="W101" i="4"/>
  <c r="V55" i="4"/>
  <c r="AZ62" i="4"/>
  <c r="BA84" i="4"/>
  <c r="AG33" i="4"/>
  <c r="BA57" i="4"/>
  <c r="AZ57" i="4"/>
  <c r="H72" i="4"/>
  <c r="AX80" i="4"/>
  <c r="AZ80" i="4" s="1"/>
  <c r="D80" i="4"/>
  <c r="D100" i="4"/>
  <c r="AX100" i="4"/>
  <c r="AZ100" i="4" s="1"/>
  <c r="AZ71" i="4"/>
  <c r="AD22" i="4"/>
  <c r="AZ68" i="4"/>
  <c r="BA36" i="4"/>
  <c r="AF53" i="4"/>
  <c r="BA70" i="4"/>
  <c r="BA78" i="4"/>
  <c r="B55" i="4"/>
  <c r="D44" i="4"/>
  <c r="AX44" i="4"/>
  <c r="P80" i="4"/>
  <c r="BA54" i="4"/>
  <c r="AN21" i="4"/>
  <c r="AL22" i="4"/>
  <c r="AY12" i="4"/>
  <c r="BA12" i="4" s="1"/>
  <c r="P29" i="4"/>
  <c r="AO86" i="4"/>
  <c r="AN86" i="4"/>
  <c r="Q100" i="4"/>
  <c r="AB94" i="4"/>
  <c r="O55" i="4"/>
  <c r="Q55" i="4" s="1"/>
  <c r="Q44" i="4"/>
  <c r="X100" i="4"/>
  <c r="AP102" i="4"/>
  <c r="I86" i="4"/>
  <c r="J101" i="4"/>
  <c r="L29" i="4"/>
  <c r="C55" i="4"/>
  <c r="E44" i="4"/>
  <c r="AY44" i="4"/>
  <c r="BA44" i="4" s="1"/>
  <c r="AZ51" i="4"/>
  <c r="AG80" i="4"/>
  <c r="I55" i="4"/>
  <c r="BA85" i="4"/>
  <c r="AZ85" i="4"/>
  <c r="H100" i="4"/>
  <c r="I100" i="4"/>
  <c r="AZ59" i="4"/>
  <c r="G101" i="4"/>
  <c r="AV33" i="4"/>
  <c r="AK100" i="4"/>
  <c r="AJ100" i="4"/>
  <c r="BA43" i="4"/>
  <c r="BA69" i="4"/>
  <c r="M33" i="4"/>
  <c r="AE21" i="4"/>
  <c r="AG12" i="4"/>
  <c r="M53" i="4"/>
  <c r="L53" i="4"/>
  <c r="T53" i="4"/>
  <c r="AZ92" i="4"/>
  <c r="H21" i="4"/>
  <c r="F22" i="4"/>
  <c r="AZ75" i="4"/>
  <c r="T60" i="4"/>
  <c r="Y44" i="4"/>
  <c r="W55" i="4"/>
  <c r="AX60" i="4"/>
  <c r="AZ99" i="4"/>
  <c r="AV72" i="4"/>
  <c r="AQ101" i="4"/>
  <c r="AS101" i="4" s="1"/>
  <c r="AS29" i="4"/>
  <c r="X44" i="4"/>
  <c r="Y72" i="4"/>
  <c r="AN72" i="4"/>
  <c r="D53" i="4"/>
  <c r="AX53" i="4"/>
  <c r="BA93" i="4"/>
  <c r="BA28" i="4"/>
  <c r="BA10" i="4"/>
  <c r="AZ10" i="4"/>
  <c r="AH22" i="4"/>
  <c r="AJ21" i="4"/>
  <c r="T55" i="4"/>
  <c r="AR12" i="4"/>
  <c r="BA97" i="4"/>
  <c r="AB72" i="4"/>
  <c r="AW80" i="4"/>
  <c r="AV80" i="4"/>
  <c r="AZ40" i="4"/>
  <c r="T21" i="4"/>
  <c r="R22" i="4"/>
  <c r="AZ48" i="4"/>
  <c r="BA17" i="4"/>
  <c r="AZ52" i="4"/>
  <c r="AB33" i="4"/>
  <c r="E12" i="4"/>
  <c r="AO55" i="4" l="1"/>
  <c r="AN55" i="4"/>
  <c r="AM101" i="4"/>
  <c r="W102" i="4"/>
  <c r="AZ44" i="4"/>
  <c r="AG21" i="4"/>
  <c r="AE22" i="4"/>
  <c r="AX55" i="4"/>
  <c r="AZ55" i="4" s="1"/>
  <c r="D55" i="4"/>
  <c r="B101" i="4"/>
  <c r="O22" i="4"/>
  <c r="Q21" i="4"/>
  <c r="AZ47" i="4"/>
  <c r="AH101" i="4"/>
  <c r="AJ101" i="4" s="1"/>
  <c r="AP103" i="4"/>
  <c r="AF101" i="4"/>
  <c r="AS21" i="4"/>
  <c r="AQ22" i="4"/>
  <c r="AR21" i="4"/>
  <c r="U22" i="4"/>
  <c r="S102" i="4"/>
  <c r="AZ12" i="4"/>
  <c r="AV55" i="4"/>
  <c r="I22" i="4"/>
  <c r="G102" i="4"/>
  <c r="AJ22" i="4"/>
  <c r="AK22" i="4"/>
  <c r="J102" i="4"/>
  <c r="L22" i="4"/>
  <c r="AZ29" i="4"/>
  <c r="AZ53" i="4"/>
  <c r="L101" i="4"/>
  <c r="L55" i="4"/>
  <c r="F101" i="4"/>
  <c r="H101" i="4" s="1"/>
  <c r="T101" i="4"/>
  <c r="AK55" i="4"/>
  <c r="AI101" i="4"/>
  <c r="AY21" i="4"/>
  <c r="B22" i="4"/>
  <c r="AX21" i="4"/>
  <c r="AZ21" i="4" s="1"/>
  <c r="D21" i="4"/>
  <c r="AZ60" i="4"/>
  <c r="Y55" i="4"/>
  <c r="AS55" i="4"/>
  <c r="AR55" i="4"/>
  <c r="K101" i="4"/>
  <c r="M101" i="4" s="1"/>
  <c r="P55" i="4"/>
  <c r="N101" i="4"/>
  <c r="P101" i="4" s="1"/>
  <c r="AA101" i="4"/>
  <c r="AC101" i="4" s="1"/>
  <c r="BA100" i="4"/>
  <c r="H22" i="4"/>
  <c r="AL102" i="4"/>
  <c r="AY55" i="4"/>
  <c r="E55" i="4"/>
  <c r="C101" i="4"/>
  <c r="AG55" i="4"/>
  <c r="AE101" i="4"/>
  <c r="AG101" i="4" s="1"/>
  <c r="BA80" i="4"/>
  <c r="X55" i="4"/>
  <c r="V101" i="4"/>
  <c r="X101" i="4" s="1"/>
  <c r="Y101" i="4"/>
  <c r="AU102" i="4"/>
  <c r="AW22" i="4"/>
  <c r="AV22" i="4"/>
  <c r="Z102" i="4"/>
  <c r="AB22" i="4"/>
  <c r="AV101" i="4"/>
  <c r="AT102" i="4"/>
  <c r="R102" i="4"/>
  <c r="T22" i="4"/>
  <c r="AF21" i="4"/>
  <c r="AD102" i="4"/>
  <c r="M22" i="4"/>
  <c r="AM22" i="4"/>
  <c r="AO21" i="4"/>
  <c r="AB55" i="4"/>
  <c r="Z101" i="4"/>
  <c r="AZ94" i="4"/>
  <c r="AZ86" i="4"/>
  <c r="V22" i="4"/>
  <c r="X21" i="4"/>
  <c r="AZ72" i="4"/>
  <c r="AF55" i="4"/>
  <c r="AC22" i="4"/>
  <c r="AA102" i="4"/>
  <c r="BA33" i="4"/>
  <c r="F102" i="4" l="1"/>
  <c r="V102" i="4"/>
  <c r="X22" i="4"/>
  <c r="Q22" i="4"/>
  <c r="O102" i="4"/>
  <c r="AA103" i="4"/>
  <c r="AC102" i="4"/>
  <c r="Z103" i="4"/>
  <c r="AB103" i="4" s="1"/>
  <c r="AB102" i="4"/>
  <c r="AU103" i="4"/>
  <c r="AW102" i="4"/>
  <c r="AX101" i="4"/>
  <c r="AZ101" i="4" s="1"/>
  <c r="D101" i="4"/>
  <c r="AM102" i="4"/>
  <c r="AO22" i="4"/>
  <c r="AT103" i="4"/>
  <c r="AV103" i="4" s="1"/>
  <c r="AV102" i="4"/>
  <c r="AQ102" i="4"/>
  <c r="AS22" i="4"/>
  <c r="AR22" i="4"/>
  <c r="J103" i="4"/>
  <c r="AB101" i="4"/>
  <c r="AH102" i="4"/>
  <c r="G103" i="4"/>
  <c r="I102" i="4"/>
  <c r="AE102" i="4"/>
  <c r="AG22" i="4"/>
  <c r="E101" i="4"/>
  <c r="AY101" i="4"/>
  <c r="AX22" i="4"/>
  <c r="AZ22" i="4" s="1"/>
  <c r="B102" i="4"/>
  <c r="D22" i="4"/>
  <c r="K102" i="4"/>
  <c r="BA21" i="4"/>
  <c r="S103" i="4"/>
  <c r="U102" i="4"/>
  <c r="AF22" i="4"/>
  <c r="BA55" i="4"/>
  <c r="I101" i="4"/>
  <c r="Y22" i="4"/>
  <c r="AD103" i="4"/>
  <c r="P22" i="4"/>
  <c r="AK101" i="4"/>
  <c r="AI102" i="4"/>
  <c r="AY22" i="4"/>
  <c r="W103" i="4"/>
  <c r="Y102" i="4"/>
  <c r="N102" i="4"/>
  <c r="E22" i="4"/>
  <c r="AO101" i="4"/>
  <c r="AN101" i="4"/>
  <c r="AN22" i="4"/>
  <c r="Q101" i="4"/>
  <c r="C102" i="4"/>
  <c r="T102" i="4"/>
  <c r="R103" i="4"/>
  <c r="T103" i="4" s="1"/>
  <c r="AN102" i="4"/>
  <c r="AL103" i="4"/>
  <c r="AY102" i="4" l="1"/>
  <c r="E102" i="4"/>
  <c r="C103" i="4"/>
  <c r="BA101" i="4"/>
  <c r="AG102" i="4"/>
  <c r="AE103" i="4"/>
  <c r="AG103" i="4" s="1"/>
  <c r="AK102" i="4"/>
  <c r="AI103" i="4"/>
  <c r="AC103" i="4"/>
  <c r="L103" i="4"/>
  <c r="AQ103" i="4"/>
  <c r="AS102" i="4"/>
  <c r="AR102" i="4"/>
  <c r="AM103" i="4"/>
  <c r="AO103" i="4" s="1"/>
  <c r="AO102" i="4"/>
  <c r="AW103" i="4"/>
  <c r="Y103" i="4"/>
  <c r="I103" i="4"/>
  <c r="AJ102" i="4"/>
  <c r="AH103" i="4"/>
  <c r="AJ103" i="4" s="1"/>
  <c r="X102" i="4"/>
  <c r="V103" i="4"/>
  <c r="X103" i="4" s="1"/>
  <c r="U103" i="4"/>
  <c r="M102" i="4"/>
  <c r="K103" i="4"/>
  <c r="M103" i="4" s="1"/>
  <c r="D102" i="4"/>
  <c r="B103" i="4"/>
  <c r="AX102" i="4"/>
  <c r="AZ102" i="4" s="1"/>
  <c r="P102" i="4"/>
  <c r="N103" i="4"/>
  <c r="BA22" i="4"/>
  <c r="Q102" i="4"/>
  <c r="O103" i="4"/>
  <c r="Q103" i="4" s="1"/>
  <c r="AF102" i="4"/>
  <c r="AF103" i="4"/>
  <c r="L102" i="4"/>
  <c r="AN103" i="4"/>
  <c r="F103" i="4"/>
  <c r="H103" i="4" s="1"/>
  <c r="H102" i="4"/>
  <c r="P103" i="4" l="1"/>
  <c r="AK103" i="4"/>
  <c r="AS103" i="4"/>
  <c r="AR103" i="4"/>
  <c r="D103" i="4"/>
  <c r="AX103" i="4"/>
  <c r="AY103" i="4"/>
  <c r="BA103" i="4" s="1"/>
  <c r="E103" i="4"/>
  <c r="BA102" i="4"/>
  <c r="AZ103" i="4" l="1"/>
  <c r="B66" i="3"/>
  <c r="B55" i="3"/>
  <c r="B47" i="3"/>
  <c r="B51" i="3" s="1"/>
  <c r="B39" i="3"/>
  <c r="B52" i="3" s="1"/>
  <c r="B56" i="3" s="1"/>
  <c r="B67" i="3" s="1"/>
  <c r="B32" i="3"/>
  <c r="B29" i="3"/>
  <c r="B24" i="3"/>
  <c r="B18" i="3"/>
  <c r="B13" i="3"/>
  <c r="B15" i="3" s="1"/>
  <c r="B25" i="3" s="1"/>
  <c r="B33" i="3" s="1"/>
  <c r="G35" i="2"/>
  <c r="H35" i="2" s="1"/>
  <c r="F35" i="2"/>
  <c r="D35" i="2"/>
  <c r="G33" i="2"/>
  <c r="H33" i="2" s="1"/>
  <c r="D33" i="2"/>
  <c r="G32" i="2"/>
  <c r="H32" i="2" s="1"/>
  <c r="F32" i="2"/>
  <c r="D32" i="2"/>
  <c r="G31" i="2"/>
  <c r="H31" i="2" s="1"/>
  <c r="F31" i="2"/>
  <c r="D31" i="2"/>
  <c r="G28" i="2"/>
  <c r="H28" i="2" s="1"/>
  <c r="F28" i="2"/>
  <c r="D28" i="2"/>
  <c r="G27" i="2"/>
  <c r="H27" i="2" s="1"/>
  <c r="F27" i="2"/>
  <c r="D27" i="2"/>
  <c r="G26" i="2"/>
  <c r="H26" i="2" s="1"/>
  <c r="F26" i="2"/>
  <c r="D26" i="2"/>
  <c r="G23" i="2"/>
  <c r="H23" i="2" s="1"/>
  <c r="F23" i="2"/>
  <c r="D23" i="2"/>
  <c r="G22" i="2"/>
  <c r="H22" i="2" s="1"/>
  <c r="F22" i="2"/>
  <c r="D22" i="2"/>
  <c r="G21" i="2"/>
  <c r="H21" i="2" s="1"/>
  <c r="F21" i="2"/>
  <c r="D21" i="2"/>
  <c r="H20" i="2"/>
  <c r="G20" i="2"/>
  <c r="F20" i="2"/>
  <c r="D20" i="2"/>
  <c r="G17" i="2"/>
  <c r="H17" i="2" s="1"/>
  <c r="F17" i="2"/>
  <c r="D17" i="2"/>
  <c r="G16" i="2"/>
  <c r="H16" i="2" s="1"/>
  <c r="F16" i="2"/>
  <c r="D16" i="2"/>
  <c r="G13" i="2"/>
  <c r="H13" i="2" s="1"/>
  <c r="F13" i="2"/>
  <c r="D13" i="2"/>
  <c r="G12" i="2"/>
  <c r="H12" i="2" s="1"/>
  <c r="F12" i="2"/>
  <c r="D12" i="2"/>
  <c r="F9" i="2"/>
  <c r="H9" i="2" s="1"/>
  <c r="D9" i="2"/>
  <c r="G8" i="2"/>
  <c r="H8" i="2" s="1"/>
  <c r="F8" i="2"/>
  <c r="D8" i="2"/>
  <c r="H7" i="2"/>
  <c r="G7" i="2"/>
  <c r="F7" i="2"/>
  <c r="D7" i="2"/>
  <c r="G6" i="2"/>
  <c r="H6" i="2" s="1"/>
  <c r="F6" i="2"/>
  <c r="D6" i="2"/>
  <c r="G5" i="2"/>
  <c r="H5" i="2" s="1"/>
  <c r="F5" i="2"/>
  <c r="G4" i="2"/>
  <c r="H4" i="2" s="1"/>
  <c r="F4" i="2"/>
  <c r="D4" i="2"/>
</calcChain>
</file>

<file path=xl/sharedStrings.xml><?xml version="1.0" encoding="utf-8"?>
<sst xmlns="http://schemas.openxmlformats.org/spreadsheetml/2006/main" count="378" uniqueCount="296">
  <si>
    <t>Statistics</t>
  </si>
  <si>
    <t>% change</t>
  </si>
  <si>
    <t>YTD 2024</t>
  </si>
  <si>
    <t>YTD 2025</t>
  </si>
  <si>
    <t>Circulation</t>
  </si>
  <si>
    <t>Reference Questions</t>
  </si>
  <si>
    <t>Program attendance</t>
  </si>
  <si>
    <t>People counter</t>
  </si>
  <si>
    <t>3M Ebook</t>
  </si>
  <si>
    <t>OverDrive</t>
  </si>
  <si>
    <t>Comic+</t>
  </si>
  <si>
    <t>Interlibrary Loans</t>
  </si>
  <si>
    <t>Number of items borrowed</t>
  </si>
  <si>
    <t>Number of items loaned</t>
  </si>
  <si>
    <t>AspenCat</t>
  </si>
  <si>
    <t>Borrowed</t>
  </si>
  <si>
    <t>Loan</t>
  </si>
  <si>
    <t>Registered Patrons</t>
  </si>
  <si>
    <t>New cards</t>
  </si>
  <si>
    <t>Total number of card holders</t>
  </si>
  <si>
    <t>Resident</t>
  </si>
  <si>
    <t>Non- Resident</t>
  </si>
  <si>
    <t>Collection</t>
  </si>
  <si>
    <t>Materials added</t>
  </si>
  <si>
    <t>Materials withdrawn</t>
  </si>
  <si>
    <t>Total materials owned</t>
  </si>
  <si>
    <t>Technology</t>
  </si>
  <si>
    <t>Computer use</t>
  </si>
  <si>
    <t>Web usage *</t>
  </si>
  <si>
    <t>Tech Coaching</t>
  </si>
  <si>
    <t>Volunteer hours worked</t>
  </si>
  <si>
    <t>Balance Sheet</t>
  </si>
  <si>
    <t>Berthoud Community Library District</t>
  </si>
  <si>
    <t>As of September 30, 2025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</si>
  <si>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</si>
  <si>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</si>
  <si>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</si>
  <si>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</si>
  <si>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</si>
  <si>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</si>
  <si>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</si>
  <si>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</si>
  <si>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</si>
  <si>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</si>
  <si>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</si>
  <si>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</si>
  <si>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</si>
  <si>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</si>
  <si>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</si>
  <si>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</si>
  <si>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</si>
  <si>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</si>
  <si>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</si>
  <si>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</si>
  <si>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</si>
  <si>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</si>
  <si>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</si>
  <si>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</si>
  <si>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</si>
  <si>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</si>
  <si>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</si>
  <si>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</si>
  <si>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</si>
  <si>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</si>
  <si>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</si>
  <si>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</si>
  <si>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</si>
  <si>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</si>
  <si>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</si>
  <si>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</si>
  <si>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</si>
  <si>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</si>
  <si>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</si>
  <si>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</si>
  <si>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</si>
  <si>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</si>
  <si>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</si>
  <si>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</si>
  <si>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</si>
  <si>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</si>
  <si>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</si>
  <si>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</si>
  <si>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</si>
  <si>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</si>
  <si>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</si>
  <si>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</si>
  <si>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</si>
  <si>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</si>
  <si>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</si>
  <si>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</si>
  <si>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</si>
  <si>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</si>
  <si>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</si>
  <si>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</si>
  <si>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</si>
  <si>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</si>
  <si>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>Accrual Basis Friday, October 10, 2025 03:52 PM GMTZ</t>
  </si>
  <si>
    <t xml:space="preserve">Budget vs. Actuals: Budget_FY25_P&amp;L_1 - FY25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</si>
  <si>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</si>
  <si>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</si>
  <si>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</si>
  <si>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</si>
  <si>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</si>
  <si>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</si>
  <si>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</si>
  <si>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</si>
  <si>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</si>
  <si>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</si>
  <si>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</si>
  <si>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</si>
  <si>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</si>
  <si>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</si>
  <si>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</si>
  <si>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</si>
  <si>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</si>
  <si>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</si>
  <si>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</si>
  <si>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Friends of the Library</t>
  </si>
  <si>
    <t xml:space="preserve">      Grants</t>
  </si>
  <si>
    <t xml:space="preserve">      Undesignated</t>
  </si>
  <si>
    <t xml:space="preserve">   Total 40010 Donations</t>
  </si>
  <si>
    <t xml:space="preserve">   44500 Government Grants</t>
  </si>
  <si>
    <t xml:space="preserve">      44540 State Grants</t>
  </si>
  <si>
    <t xml:space="preserve">   Total 44500 Government Grants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</si>
  <si>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</si>
  <si>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</si>
  <si>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</si>
  <si>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</si>
  <si>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</si>
  <si>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</si>
  <si>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</si>
  <si>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</si>
  <si>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</si>
  <si>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</si>
  <si>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</si>
  <si>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</si>
  <si>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</si>
  <si>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</si>
  <si>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</si>
  <si>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</si>
  <si>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</si>
  <si>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</si>
  <si>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</si>
  <si>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</si>
  <si>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</si>
  <si>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</si>
  <si>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</si>
  <si>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</si>
  <si>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</si>
  <si>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</si>
  <si>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</si>
  <si>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</si>
  <si>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</si>
  <si>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</si>
  <si>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</si>
  <si>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</si>
  <si>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</si>
  <si>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</si>
  <si>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</si>
  <si>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</si>
  <si>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</si>
  <si>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</si>
  <si>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</si>
  <si>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</si>
  <si>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</si>
  <si>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</si>
  <si>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</si>
  <si>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</si>
  <si>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</si>
  <si>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</si>
  <si>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</si>
  <si>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</si>
  <si>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</si>
  <si>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</si>
  <si>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</si>
  <si>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</si>
  <si>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</si>
  <si>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</si>
  <si>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</si>
  <si>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</si>
  <si>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Medical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</si>
  <si>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</si>
  <si>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</si>
  <si>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</si>
  <si>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</si>
  <si>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</si>
  <si>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</si>
  <si>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</si>
  <si>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</si>
  <si>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</si>
  <si>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</si>
  <si>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</si>
  <si>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</si>
  <si>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</si>
  <si>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</si>
  <si>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</si>
  <si>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</si>
  <si>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</si>
  <si>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</si>
  <si>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</si>
  <si>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</si>
  <si>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</si>
  <si>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</si>
  <si>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</si>
  <si>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</si>
  <si>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</si>
  <si>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</si>
  <si>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</si>
  <si>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</si>
  <si>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</si>
  <si>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Friday, Oct 10, 2025 08:57:45 AM GMT-7 - Accrual Basis</t>
  </si>
  <si>
    <t>Expenses by Vendor Summary</t>
  </si>
  <si>
    <t>September 1-30, 2025</t>
  </si>
  <si>
    <t>Vendor</t>
  </si>
  <si>
    <t/>
  </si>
  <si>
    <t>AdSortium, LLC</t>
  </si>
  <si>
    <t>Aflac</t>
  </si>
  <si>
    <t>Amazon</t>
  </si>
  <si>
    <t>Amie L Pilla</t>
  </si>
  <si>
    <t>Canon Financial Services, Inc.</t>
  </si>
  <si>
    <t>Cardmember Services</t>
  </si>
  <si>
    <t>Center Point Large Print</t>
  </si>
  <si>
    <t>Charles Schwab</t>
  </si>
  <si>
    <t>Colorado Library Consortium</t>
  </si>
  <si>
    <t>Comcast - Business</t>
  </si>
  <si>
    <t>Diane J Trojahn</t>
  </si>
  <si>
    <t>EasyTrack Payroll</t>
  </si>
  <si>
    <t>Elizabeth Lowham</t>
  </si>
  <si>
    <t>EnvisionWare, Inc.</t>
  </si>
  <si>
    <t>Hay's Market</t>
  </si>
  <si>
    <t>Hermione Hoby</t>
  </si>
  <si>
    <t>Ingram</t>
  </si>
  <si>
    <t>J&amp;B Simply Clean Carpets</t>
  </si>
  <si>
    <t>Johnson Controls Security Solutions</t>
  </si>
  <si>
    <t>Kristin Koval</t>
  </si>
  <si>
    <t>Laura Resau</t>
  </si>
  <si>
    <t>Lulu Buck</t>
  </si>
  <si>
    <t>Margaret Mizushima</t>
  </si>
  <si>
    <t>Midwest Tape</t>
  </si>
  <si>
    <t>Minuteman Press</t>
  </si>
  <si>
    <t>Mountain View Commercial Cleaning</t>
  </si>
  <si>
    <t>Nina McConigley</t>
  </si>
  <si>
    <t>Public Sector Health Care Group</t>
  </si>
  <si>
    <t>Rallo's</t>
  </si>
  <si>
    <t>RCOM Computer Services</t>
  </si>
  <si>
    <t>R. L. Maizes</t>
  </si>
  <si>
    <t>Samantha Green</t>
  </si>
  <si>
    <t>Seter, Vander Wall &amp; Mielke, P.C.</t>
  </si>
  <si>
    <t>Town of Berthoud - Water</t>
  </si>
  <si>
    <t>United Waste Systems</t>
  </si>
  <si>
    <t>Xcel Energy</t>
  </si>
  <si>
    <t>TOTAL</t>
  </si>
  <si>
    <t>Accrual Basis Friday, October 10, 2025 03:55 PM GMTZ</t>
  </si>
  <si>
    <t>Name</t>
  </si>
  <si>
    <t>Amount</t>
  </si>
  <si>
    <t>TST*WHISKEY STAR SMOKE Breckenridge  CO</t>
  </si>
  <si>
    <t>CalCon Dinner</t>
  </si>
  <si>
    <t>CANVA* I04632-1015627  CAMDEN        DE</t>
  </si>
  <si>
    <t>Membership</t>
  </si>
  <si>
    <t>BEAVER RUN RESORT      BRECKENRIDGE  CO</t>
  </si>
  <si>
    <t>CalCon Room tax refund</t>
  </si>
  <si>
    <t xml:space="preserve">CalCon Room </t>
  </si>
  <si>
    <t>CalCon Room</t>
  </si>
  <si>
    <t>TST*MICHAELS ITALIAN   Breckenridge  CO</t>
  </si>
  <si>
    <t>Dinner CalCon</t>
  </si>
  <si>
    <t>SQ *THE SOURCE ZERO NO Berthoud CO  CO</t>
  </si>
  <si>
    <t>Lit Fest</t>
  </si>
  <si>
    <t>SQ *YOU + ME FLORAL AN Berthoud      CO</t>
  </si>
  <si>
    <t>SQ *WISHFUL LIVING     Berthoud      CO</t>
  </si>
  <si>
    <t>SQ *THE RANCHERS WIFE  Berthoud      CO</t>
  </si>
  <si>
    <t>Adobe                  San Jose      CA</t>
  </si>
  <si>
    <t>USPS PO 0707200378     BERTHOUD      CO</t>
  </si>
  <si>
    <t>Stamps</t>
  </si>
  <si>
    <t>NORTHGLENN ARC THRIFT  NORTHGLENN    CO</t>
  </si>
  <si>
    <t>Youth Programming</t>
  </si>
  <si>
    <t>NOE AYALA              ALBUQUERQUE   NM</t>
  </si>
  <si>
    <t>ARSL</t>
  </si>
  <si>
    <t>SAFEWAY #0881          NORTHGLENN    CO</t>
  </si>
  <si>
    <t>TINO'S TACOS           ALBUQUERQUE   NM</t>
  </si>
  <si>
    <t>TOCABE AT DIA          DENVER        CO</t>
  </si>
  <si>
    <t>UNITED   01643307215266UNITED.COM    TX</t>
  </si>
  <si>
    <t>INTERNET PAYMENT THANK YOU</t>
  </si>
  <si>
    <t>OTC BRANDS  *OTC BRAND OMAHA         NE</t>
  </si>
  <si>
    <t>GUAVA TREE             ALBUQUERQUE   NM</t>
  </si>
  <si>
    <t>TST* FRESQUEZ - RUSH O ALBUQUERQUE   NM</t>
  </si>
  <si>
    <t>DOUBLETREE HOTEL ALBUQ ALBUQUERQUE   NM</t>
  </si>
  <si>
    <t>DOUBLETREE HOTELS      ALBUQUERQUE   NM</t>
  </si>
  <si>
    <t>DEN PUBLIC PARKING     DENVER        CO</t>
  </si>
  <si>
    <t>CHURCH STREET CAFE     ALBUQUERQUE   NM</t>
  </si>
  <si>
    <t>UNITED   01643313587462UNITED.COM    TX</t>
  </si>
  <si>
    <t>SP AUNT FLOW           COLUMBUS      OH</t>
  </si>
  <si>
    <t>Subscription</t>
  </si>
  <si>
    <t>SP STUDIO OH           IRVINE        CA</t>
  </si>
  <si>
    <t>Christy 2026 Calendar</t>
  </si>
  <si>
    <t>INTUIT *QBooks Live    CL.INTUIT.COM CA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</si>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</sst>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7" fillId="0" borderId="1"/>
    <xf numFmtId="0" fontId="11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1" fontId="0" fillId="0" borderId="0" xfId="0" applyNumberFormat="1"/>
    <xf numFmtId="9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1" applyFont="1" applyAlignment="1">
      <alignment horizontal="center" wrapText="1"/>
    </xf>
    <xf numFmtId="0" fontId="3" fillId="0" borderId="0" xfId="1" applyAlignment="1">
      <alignment wrapText="1"/>
    </xf>
    <xf numFmtId="0" fontId="3" fillId="0" borderId="0" xfId="1"/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8" fillId="0" borderId="1" xfId="2" applyFont="1" applyAlignment="1">
      <alignment horizontal="center" wrapText="1"/>
    </xf>
    <xf numFmtId="0" fontId="9" fillId="0" borderId="0" xfId="1" applyFont="1" applyAlignment="1">
      <alignment horizontal="left" wrapText="1"/>
    </xf>
    <xf numFmtId="0" fontId="3" fillId="0" borderId="0" xfId="1" applyAlignment="1">
      <alignment wrapText="1"/>
    </xf>
    <xf numFmtId="0" fontId="9" fillId="0" borderId="0" xfId="1" applyFont="1" applyAlignment="1">
      <alignment horizontal="left" wrapText="1" indent="1"/>
    </xf>
    <xf numFmtId="0" fontId="9" fillId="0" borderId="0" xfId="1" applyFont="1" applyAlignment="1">
      <alignment horizontal="left" wrapText="1" indent="2"/>
    </xf>
    <xf numFmtId="0" fontId="9" fillId="0" borderId="0" xfId="1" applyFont="1" applyAlignment="1">
      <alignment horizontal="left" wrapText="1" indent="3"/>
    </xf>
    <xf numFmtId="4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 indent="4"/>
    </xf>
    <xf numFmtId="0" fontId="10" fillId="0" borderId="0" xfId="1" applyFont="1" applyAlignment="1">
      <alignment horizontal="left" wrapText="1" indent="3"/>
    </xf>
    <xf numFmtId="164" fontId="10" fillId="0" borderId="2" xfId="1" applyNumberFormat="1" applyFont="1" applyBorder="1" applyAlignment="1">
      <alignment wrapText="1"/>
    </xf>
    <xf numFmtId="0" fontId="10" fillId="0" borderId="0" xfId="1" applyFont="1" applyAlignment="1">
      <alignment horizontal="left" wrapText="1" indent="2"/>
    </xf>
    <xf numFmtId="0" fontId="10" fillId="0" borderId="0" xfId="1" applyFont="1" applyAlignment="1">
      <alignment horizontal="left" wrapText="1" indent="1"/>
    </xf>
    <xf numFmtId="0" fontId="10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horizontal="left" wrapText="1" indent="5"/>
    </xf>
    <xf numFmtId="0" fontId="10" fillId="0" borderId="0" xfId="1" applyFont="1" applyAlignment="1">
      <alignment horizontal="left" wrapText="1" indent="4"/>
    </xf>
    <xf numFmtId="0" fontId="9" fillId="0" borderId="0" xfId="1" applyFont="1" applyAlignment="1">
      <alignment horizontal="center" wrapText="1"/>
    </xf>
    <xf numFmtId="0" fontId="12" fillId="0" borderId="0" xfId="3" applyFont="1" applyAlignment="1">
      <alignment horizontal="center"/>
    </xf>
    <xf numFmtId="0" fontId="11" fillId="0" borderId="0" xfId="3"/>
    <xf numFmtId="0" fontId="11" fillId="0" borderId="0" xfId="3"/>
    <xf numFmtId="0" fontId="13" fillId="0" borderId="0" xfId="3" applyFont="1" applyAlignment="1">
      <alignment horizontal="center"/>
    </xf>
    <xf numFmtId="0" fontId="11" fillId="0" borderId="0" xfId="3" applyAlignment="1">
      <alignment wrapText="1"/>
    </xf>
    <xf numFmtId="0" fontId="14" fillId="0" borderId="1" xfId="3" applyFont="1" applyBorder="1" applyAlignment="1">
      <alignment horizontal="center" wrapText="1"/>
    </xf>
    <xf numFmtId="0" fontId="11" fillId="0" borderId="0" xfId="3" applyAlignment="1">
      <alignment wrapText="1"/>
    </xf>
    <xf numFmtId="0" fontId="14" fillId="0" borderId="1" xfId="3" applyFont="1" applyBorder="1" applyAlignment="1">
      <alignment horizontal="center" wrapText="1"/>
    </xf>
    <xf numFmtId="0" fontId="15" fillId="0" borderId="0" xfId="3" applyFont="1" applyAlignment="1">
      <alignment horizontal="left" wrapText="1"/>
    </xf>
    <xf numFmtId="165" fontId="16" fillId="0" borderId="0" xfId="3" applyNumberFormat="1" applyFont="1" applyAlignment="1">
      <alignment wrapText="1"/>
    </xf>
    <xf numFmtId="165" fontId="16" fillId="0" borderId="0" xfId="3" applyNumberFormat="1" applyFont="1" applyAlignment="1">
      <alignment horizontal="right" wrapText="1"/>
    </xf>
    <xf numFmtId="10" fontId="16" fillId="0" borderId="0" xfId="3" applyNumberFormat="1" applyFont="1" applyAlignment="1">
      <alignment horizontal="right" wrapText="1"/>
    </xf>
    <xf numFmtId="166" fontId="15" fillId="0" borderId="2" xfId="3" applyNumberFormat="1" applyFont="1" applyBorder="1" applyAlignment="1">
      <alignment horizontal="right" wrapText="1"/>
    </xf>
    <xf numFmtId="10" fontId="15" fillId="0" borderId="2" xfId="3" applyNumberFormat="1" applyFont="1" applyBorder="1" applyAlignment="1">
      <alignment horizontal="right" wrapText="1"/>
    </xf>
    <xf numFmtId="0" fontId="16" fillId="0" borderId="0" xfId="3" applyFont="1" applyAlignment="1">
      <alignment horizontal="center"/>
    </xf>
    <xf numFmtId="0" fontId="10" fillId="0" borderId="2" xfId="1" applyFont="1" applyBorder="1" applyAlignment="1">
      <alignment horizontal="left" wrapText="1"/>
    </xf>
  </cellXfs>
  <cellStyles count="4">
    <cellStyle name="HeaderCellStyle" xfId="2" xr:uid="{EBD1F003-3C54-4852-9186-715732C0F733}"/>
    <cellStyle name="Normal" xfId="0" builtinId="0"/>
    <cellStyle name="Normal 2" xfId="1" xr:uid="{208D2253-F34B-4382-ACCA-7814A9412551}"/>
    <cellStyle name="Normal 3" xfId="3" xr:uid="{5F93F797-33EF-4B5C-936D-0E39E09C1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CS\2011-2025%20Stats\2025%20Statistics.xlsx" TargetMode="External"/><Relationship Id="rId1" Type="http://schemas.openxmlformats.org/officeDocument/2006/relationships/externalLinkPath" Target="file:///Z:\STATISTICS\2011-2025%20Stats\2025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Sheet1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Program Information"/>
      <sheetName val="Podca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F4">
            <v>47001</v>
          </cell>
          <cell r="G4">
            <v>59339</v>
          </cell>
        </row>
        <row r="5">
          <cell r="F5">
            <v>0</v>
          </cell>
          <cell r="G5">
            <v>0</v>
          </cell>
        </row>
        <row r="6">
          <cell r="F6">
            <v>4023</v>
          </cell>
          <cell r="G6">
            <v>4632</v>
          </cell>
        </row>
        <row r="7">
          <cell r="F7">
            <v>30497</v>
          </cell>
          <cell r="G7">
            <v>32314</v>
          </cell>
        </row>
        <row r="8">
          <cell r="F8">
            <v>2715</v>
          </cell>
          <cell r="G8">
            <v>2506</v>
          </cell>
        </row>
        <row r="9">
          <cell r="F9">
            <v>3711</v>
          </cell>
        </row>
        <row r="12">
          <cell r="F12">
            <v>324</v>
          </cell>
          <cell r="G12">
            <v>375</v>
          </cell>
        </row>
        <row r="13">
          <cell r="F13">
            <v>412</v>
          </cell>
          <cell r="G13">
            <v>477</v>
          </cell>
        </row>
        <row r="16">
          <cell r="F16">
            <v>7073</v>
          </cell>
          <cell r="G16">
            <v>6584</v>
          </cell>
        </row>
        <row r="17">
          <cell r="F17">
            <v>3118</v>
          </cell>
          <cell r="G17">
            <v>2913</v>
          </cell>
        </row>
        <row r="20">
          <cell r="F20">
            <v>653</v>
          </cell>
          <cell r="G20">
            <v>803</v>
          </cell>
        </row>
        <row r="26">
          <cell r="F26">
            <v>1878</v>
          </cell>
          <cell r="G26">
            <v>2232</v>
          </cell>
        </row>
        <row r="27">
          <cell r="F27">
            <v>1664</v>
          </cell>
          <cell r="G27">
            <v>2768</v>
          </cell>
        </row>
        <row r="31">
          <cell r="F31">
            <v>2415</v>
          </cell>
          <cell r="G31">
            <v>2945</v>
          </cell>
        </row>
        <row r="32">
          <cell r="F32">
            <v>65418</v>
          </cell>
          <cell r="G32">
            <v>54929</v>
          </cell>
        </row>
        <row r="33">
          <cell r="G33">
            <v>2119</v>
          </cell>
        </row>
        <row r="35">
          <cell r="F35">
            <v>267.5</v>
          </cell>
          <cell r="G35">
            <v>260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E5CF-4F61-428D-B916-7F67F7E1AFA4}">
  <dimension ref="A1:H35"/>
  <sheetViews>
    <sheetView tabSelected="1" view="pageLayout" zoomScale="125" zoomScaleNormal="125" zoomScalePageLayoutView="125" workbookViewId="0">
      <selection activeCell="C36" sqref="C36"/>
    </sheetView>
  </sheetViews>
  <sheetFormatPr defaultColWidth="8.6640625" defaultRowHeight="14.4" x14ac:dyDescent="0.3"/>
  <cols>
    <col min="1" max="1" width="25.44140625" customWidth="1"/>
    <col min="5" max="5" width="3.88671875" customWidth="1"/>
  </cols>
  <sheetData>
    <row r="1" spans="1:8" ht="31.2" x14ac:dyDescent="0.3">
      <c r="A1" s="1" t="s">
        <v>0</v>
      </c>
      <c r="B1" s="2">
        <v>45566</v>
      </c>
      <c r="C1" s="2">
        <v>45931</v>
      </c>
      <c r="D1" s="3" t="s">
        <v>1</v>
      </c>
      <c r="E1" s="3"/>
      <c r="F1" s="3" t="s">
        <v>2</v>
      </c>
      <c r="G1" s="3" t="s">
        <v>3</v>
      </c>
      <c r="H1" s="3" t="s">
        <v>1</v>
      </c>
    </row>
    <row r="2" spans="1:8" ht="15.6" x14ac:dyDescent="0.3">
      <c r="A2" s="1"/>
      <c r="B2" s="2"/>
      <c r="C2" s="2"/>
      <c r="D2" s="3"/>
      <c r="E2" s="3"/>
      <c r="F2" s="3"/>
      <c r="G2" s="3"/>
      <c r="H2" s="3"/>
    </row>
    <row r="3" spans="1:8" ht="15.6" x14ac:dyDescent="0.3">
      <c r="A3" s="4" t="s">
        <v>4</v>
      </c>
    </row>
    <row r="4" spans="1:8" x14ac:dyDescent="0.3">
      <c r="A4" s="5" t="s">
        <v>4</v>
      </c>
      <c r="B4" s="6">
        <v>6452</v>
      </c>
      <c r="C4" s="6">
        <v>6867</v>
      </c>
      <c r="D4" s="7">
        <f t="shared" ref="D4:D8" si="0">(C4-B4)/B4</f>
        <v>6.4321140731556106E-2</v>
      </c>
      <c r="E4" s="7"/>
      <c r="F4" s="6">
        <f>[1]Sept!F4+B4</f>
        <v>53453</v>
      </c>
      <c r="G4" s="6">
        <f>[1]Sept!G4+C4</f>
        <v>66206</v>
      </c>
      <c r="H4" s="7">
        <f t="shared" ref="H4:H8" si="1">(G4-F4)/F4</f>
        <v>0.23858342843245467</v>
      </c>
    </row>
    <row r="5" spans="1:8" x14ac:dyDescent="0.3">
      <c r="A5" s="8" t="s">
        <v>5</v>
      </c>
      <c r="B5" s="6">
        <v>0</v>
      </c>
      <c r="C5" s="6"/>
      <c r="D5" s="7"/>
      <c r="E5" s="7"/>
      <c r="F5" s="6">
        <f>[1]Sept!F5+B5</f>
        <v>0</v>
      </c>
      <c r="G5" s="6">
        <f>[1]Sept!G5+C5</f>
        <v>0</v>
      </c>
      <c r="H5" s="7" t="e">
        <f t="shared" si="1"/>
        <v>#DIV/0!</v>
      </c>
    </row>
    <row r="6" spans="1:8" x14ac:dyDescent="0.3">
      <c r="A6" s="8" t="s">
        <v>6</v>
      </c>
      <c r="B6" s="6">
        <v>326</v>
      </c>
      <c r="C6" s="6">
        <v>731</v>
      </c>
      <c r="D6" s="7">
        <f t="shared" si="0"/>
        <v>1.2423312883435582</v>
      </c>
      <c r="E6" s="7"/>
      <c r="F6" s="6">
        <f>[1]Sept!F6+B6</f>
        <v>4349</v>
      </c>
      <c r="G6" s="6">
        <f>[1]Sept!G6+C6</f>
        <v>5363</v>
      </c>
      <c r="H6" s="7">
        <f t="shared" si="1"/>
        <v>0.23315704759714878</v>
      </c>
    </row>
    <row r="7" spans="1:8" x14ac:dyDescent="0.3">
      <c r="A7" s="8" t="s">
        <v>7</v>
      </c>
      <c r="B7" s="6">
        <v>3515</v>
      </c>
      <c r="C7" s="6">
        <v>3718</v>
      </c>
      <c r="D7" s="7">
        <f t="shared" si="0"/>
        <v>5.7752489331436702E-2</v>
      </c>
      <c r="E7" s="7"/>
      <c r="F7" s="6">
        <f>[1]Sept!F7+B7</f>
        <v>34012</v>
      </c>
      <c r="G7" s="6">
        <f>[1]Sept!G7+C7</f>
        <v>36032</v>
      </c>
      <c r="H7" s="7">
        <f t="shared" si="1"/>
        <v>5.9390803245913205E-2</v>
      </c>
    </row>
    <row r="8" spans="1:8" x14ac:dyDescent="0.3">
      <c r="A8" s="8" t="s">
        <v>8</v>
      </c>
      <c r="B8" s="6">
        <v>268</v>
      </c>
      <c r="C8" s="6">
        <v>0</v>
      </c>
      <c r="D8" s="7">
        <f t="shared" si="0"/>
        <v>-1</v>
      </c>
      <c r="E8" s="7"/>
      <c r="F8" s="6">
        <f>[1]Sept!F8+B8</f>
        <v>2983</v>
      </c>
      <c r="G8" s="6">
        <f>[1]Sept!G8+C8</f>
        <v>2506</v>
      </c>
      <c r="H8" s="7">
        <f t="shared" si="1"/>
        <v>-0.15990613476366075</v>
      </c>
    </row>
    <row r="9" spans="1:8" x14ac:dyDescent="0.3">
      <c r="A9" s="8" t="s">
        <v>9</v>
      </c>
      <c r="B9" s="6">
        <v>762</v>
      </c>
      <c r="C9" s="6">
        <v>1161</v>
      </c>
      <c r="D9" s="7">
        <f>(C9-B9)/B9</f>
        <v>0.52362204724409445</v>
      </c>
      <c r="F9" s="6">
        <f>[1]Sept!F9+B9</f>
        <v>4473</v>
      </c>
      <c r="G9" s="6">
        <v>0</v>
      </c>
      <c r="H9" s="7">
        <f>(G9-F9)/F9</f>
        <v>-1</v>
      </c>
    </row>
    <row r="10" spans="1:8" x14ac:dyDescent="0.3">
      <c r="A10" s="8" t="s">
        <v>10</v>
      </c>
      <c r="B10" s="6"/>
      <c r="C10" s="6"/>
      <c r="D10" s="7"/>
      <c r="E10" s="7"/>
      <c r="F10" s="6"/>
      <c r="G10" s="6"/>
      <c r="H10" s="7"/>
    </row>
    <row r="11" spans="1:8" ht="15.6" x14ac:dyDescent="0.3">
      <c r="A11" s="4" t="s">
        <v>11</v>
      </c>
      <c r="B11" s="6"/>
      <c r="C11" s="6"/>
      <c r="D11" s="7"/>
      <c r="E11" s="7"/>
      <c r="F11" s="6"/>
      <c r="G11" s="6"/>
      <c r="H11" s="7"/>
    </row>
    <row r="12" spans="1:8" x14ac:dyDescent="0.3">
      <c r="A12" s="5" t="s">
        <v>12</v>
      </c>
      <c r="B12" s="6">
        <v>54</v>
      </c>
      <c r="C12" s="6">
        <v>51</v>
      </c>
      <c r="D12" s="7">
        <f>(C12-B12)/B12</f>
        <v>-5.5555555555555552E-2</v>
      </c>
      <c r="E12" s="7"/>
      <c r="F12" s="6">
        <f>[1]Sept!F12+B12</f>
        <v>378</v>
      </c>
      <c r="G12" s="6">
        <f>[1]Sept!G12+C12</f>
        <v>426</v>
      </c>
      <c r="H12" s="7">
        <f>(G12-F12)/F12</f>
        <v>0.12698412698412698</v>
      </c>
    </row>
    <row r="13" spans="1:8" x14ac:dyDescent="0.3">
      <c r="A13" s="8" t="s">
        <v>13</v>
      </c>
      <c r="B13" s="6">
        <v>54</v>
      </c>
      <c r="C13" s="6">
        <v>67</v>
      </c>
      <c r="D13" s="7">
        <f>(C13-B13)/B13</f>
        <v>0.24074074074074073</v>
      </c>
      <c r="E13" s="7"/>
      <c r="F13" s="6">
        <f>[1]Sept!F13+B13</f>
        <v>466</v>
      </c>
      <c r="G13" s="6">
        <f>[1]Sept!G13+C13</f>
        <v>544</v>
      </c>
      <c r="H13" s="7">
        <f>(G13-F13)/F13</f>
        <v>0.16738197424892703</v>
      </c>
    </row>
    <row r="14" spans="1:8" x14ac:dyDescent="0.3">
      <c r="A14" s="8"/>
      <c r="B14" s="6"/>
      <c r="C14" s="6"/>
      <c r="D14" s="7"/>
      <c r="E14" s="7"/>
      <c r="F14" s="6"/>
      <c r="G14" s="6"/>
      <c r="H14" s="7"/>
    </row>
    <row r="15" spans="1:8" ht="15.6" x14ac:dyDescent="0.3">
      <c r="A15" s="9" t="s">
        <v>14</v>
      </c>
      <c r="B15" s="6"/>
      <c r="C15" s="6"/>
      <c r="D15" s="7"/>
      <c r="E15" s="7"/>
      <c r="F15" s="6"/>
      <c r="G15" s="6"/>
      <c r="H15" s="7"/>
    </row>
    <row r="16" spans="1:8" x14ac:dyDescent="0.3">
      <c r="A16" s="8" t="s">
        <v>15</v>
      </c>
      <c r="B16" s="6">
        <v>857</v>
      </c>
      <c r="C16" s="6">
        <v>0</v>
      </c>
      <c r="D16" s="7">
        <f>(C16-B16)/B16</f>
        <v>-1</v>
      </c>
      <c r="E16" s="7"/>
      <c r="F16" s="6">
        <f>[1]Sept!F16+B16</f>
        <v>7930</v>
      </c>
      <c r="G16" s="6">
        <f>[1]Sept!G16+C16</f>
        <v>6584</v>
      </c>
      <c r="H16" s="7">
        <f>(G16-F16)/F16</f>
        <v>-0.16973518284993694</v>
      </c>
    </row>
    <row r="17" spans="1:8" x14ac:dyDescent="0.3">
      <c r="A17" s="5" t="s">
        <v>16</v>
      </c>
      <c r="B17" s="6">
        <v>494</v>
      </c>
      <c r="C17" s="6">
        <v>0</v>
      </c>
      <c r="D17" s="7">
        <f>(C17-B17)/B17</f>
        <v>-1</v>
      </c>
      <c r="E17" s="7"/>
      <c r="F17" s="6">
        <f>[1]Sept!F17+B17</f>
        <v>3612</v>
      </c>
      <c r="G17" s="6">
        <f>[1]Sept!G17+C17</f>
        <v>2913</v>
      </c>
      <c r="H17" s="7">
        <f>(G17-F17)/F17</f>
        <v>-0.19352159468438537</v>
      </c>
    </row>
    <row r="18" spans="1:8" x14ac:dyDescent="0.3">
      <c r="A18" s="5"/>
      <c r="B18" s="6"/>
      <c r="C18" s="6"/>
      <c r="D18" s="7"/>
      <c r="E18" s="7"/>
      <c r="F18" s="6"/>
      <c r="G18" s="6"/>
      <c r="H18" s="7"/>
    </row>
    <row r="19" spans="1:8" ht="15.6" x14ac:dyDescent="0.3">
      <c r="A19" s="9" t="s">
        <v>17</v>
      </c>
      <c r="B19" s="6"/>
      <c r="C19" s="6"/>
      <c r="D19" s="7"/>
      <c r="E19" s="7"/>
      <c r="F19" s="6"/>
      <c r="G19" s="6"/>
      <c r="H19" s="7"/>
    </row>
    <row r="20" spans="1:8" x14ac:dyDescent="0.3">
      <c r="A20" s="8" t="s">
        <v>18</v>
      </c>
      <c r="B20" s="6">
        <v>100</v>
      </c>
      <c r="C20" s="6">
        <v>75</v>
      </c>
      <c r="D20" s="7">
        <f>(C20-B20)/B20</f>
        <v>-0.25</v>
      </c>
      <c r="E20" s="7"/>
      <c r="F20" s="6">
        <f>[1]Sept!F20+B20</f>
        <v>753</v>
      </c>
      <c r="G20" s="6">
        <f>[1]Sept!G20+C20</f>
        <v>878</v>
      </c>
      <c r="H20" s="7">
        <f>(G26-F26)/F26</f>
        <v>7.473776223776224E-2</v>
      </c>
    </row>
    <row r="21" spans="1:8" ht="15.6" x14ac:dyDescent="0.3">
      <c r="A21" s="8" t="s">
        <v>19</v>
      </c>
      <c r="B21" s="6">
        <v>11242</v>
      </c>
      <c r="C21" s="6">
        <v>7836</v>
      </c>
      <c r="D21" s="7">
        <f>(C21-B21)/B21</f>
        <v>-0.3029710016011386</v>
      </c>
      <c r="E21" s="7"/>
      <c r="F21" s="10">
        <f t="shared" ref="F21:G23" si="2">B21</f>
        <v>11242</v>
      </c>
      <c r="G21" s="10">
        <f t="shared" si="2"/>
        <v>7836</v>
      </c>
      <c r="H21" s="7">
        <f>(G21-F21)/F21</f>
        <v>-0.3029710016011386</v>
      </c>
    </row>
    <row r="22" spans="1:8" ht="15.6" x14ac:dyDescent="0.3">
      <c r="A22" s="8" t="s">
        <v>20</v>
      </c>
      <c r="B22" s="6">
        <v>9310</v>
      </c>
      <c r="C22" s="6">
        <v>6458</v>
      </c>
      <c r="D22" s="7">
        <f>(C22-B22)/B22</f>
        <v>-0.30633727175080561</v>
      </c>
      <c r="E22" s="7"/>
      <c r="F22" s="10">
        <f t="shared" si="2"/>
        <v>9310</v>
      </c>
      <c r="G22" s="10">
        <f t="shared" si="2"/>
        <v>6458</v>
      </c>
      <c r="H22" s="7">
        <f>(G22-F22)/F22</f>
        <v>-0.30633727175080561</v>
      </c>
    </row>
    <row r="23" spans="1:8" ht="15.6" x14ac:dyDescent="0.3">
      <c r="A23" s="8" t="s">
        <v>21</v>
      </c>
      <c r="B23" s="6">
        <v>1932</v>
      </c>
      <c r="C23" s="6">
        <v>1378</v>
      </c>
      <c r="D23" s="7">
        <f>(C23-B23)/B23</f>
        <v>-0.28674948240165632</v>
      </c>
      <c r="E23" s="7"/>
      <c r="F23" s="10">
        <f t="shared" si="2"/>
        <v>1932</v>
      </c>
      <c r="G23" s="10">
        <f t="shared" si="2"/>
        <v>1378</v>
      </c>
      <c r="H23" s="7">
        <f>(G23-F23)/F23</f>
        <v>-0.28674948240165632</v>
      </c>
    </row>
    <row r="24" spans="1:8" x14ac:dyDescent="0.3">
      <c r="A24" s="8"/>
      <c r="B24" s="6"/>
      <c r="C24" s="6"/>
      <c r="D24" s="7"/>
      <c r="E24" s="7"/>
      <c r="F24" s="6"/>
      <c r="G24" s="6"/>
      <c r="H24" s="7"/>
    </row>
    <row r="25" spans="1:8" ht="15.6" x14ac:dyDescent="0.3">
      <c r="A25" s="9" t="s">
        <v>22</v>
      </c>
      <c r="B25" s="6"/>
      <c r="C25" s="6"/>
      <c r="D25" s="7"/>
      <c r="E25" s="7"/>
      <c r="F25" s="6"/>
      <c r="G25" s="6"/>
      <c r="H25" s="7"/>
    </row>
    <row r="26" spans="1:8" x14ac:dyDescent="0.3">
      <c r="A26" s="8" t="s">
        <v>23</v>
      </c>
      <c r="B26" s="6">
        <v>410</v>
      </c>
      <c r="C26" s="6">
        <v>227</v>
      </c>
      <c r="D26" s="7">
        <f>(C26-B26)/B26</f>
        <v>-0.44634146341463415</v>
      </c>
      <c r="E26" s="7"/>
      <c r="F26" s="6">
        <f>[1]Sept!F26+B26</f>
        <v>2288</v>
      </c>
      <c r="G26" s="6">
        <f>[1]Sept!G26+C26</f>
        <v>2459</v>
      </c>
      <c r="H26" s="7">
        <f>(G26-F26)/F26</f>
        <v>7.473776223776224E-2</v>
      </c>
    </row>
    <row r="27" spans="1:8" x14ac:dyDescent="0.3">
      <c r="A27" s="8" t="s">
        <v>24</v>
      </c>
      <c r="B27" s="6">
        <v>13</v>
      </c>
      <c r="C27" s="6">
        <v>106</v>
      </c>
      <c r="D27" s="7">
        <f>(C27-B27)/B27</f>
        <v>7.1538461538461542</v>
      </c>
      <c r="E27" s="7"/>
      <c r="F27" s="6">
        <f>[1]Sept!F27+B27</f>
        <v>1677</v>
      </c>
      <c r="G27" s="6">
        <f>[1]Sept!G27+C27</f>
        <v>2874</v>
      </c>
      <c r="H27" s="7">
        <f>(G27-F27)/F27</f>
        <v>0.71377459749552774</v>
      </c>
    </row>
    <row r="28" spans="1:8" x14ac:dyDescent="0.3">
      <c r="A28" s="8" t="s">
        <v>25</v>
      </c>
      <c r="B28" s="6">
        <v>26405</v>
      </c>
      <c r="C28" s="6">
        <v>26226</v>
      </c>
      <c r="D28" s="7">
        <f>(C28-B28)/B28</f>
        <v>-6.7790191251656884E-3</v>
      </c>
      <c r="E28" s="7"/>
      <c r="F28" s="6">
        <f>B28</f>
        <v>26405</v>
      </c>
      <c r="G28" s="6">
        <f>C28</f>
        <v>26226</v>
      </c>
      <c r="H28" s="7">
        <f>(G28-F28)/F28</f>
        <v>-6.7790191251656884E-3</v>
      </c>
    </row>
    <row r="29" spans="1:8" x14ac:dyDescent="0.3">
      <c r="A29" s="8"/>
      <c r="B29" s="6"/>
      <c r="C29" s="6"/>
      <c r="D29" s="7"/>
      <c r="E29" s="7"/>
      <c r="F29" s="6"/>
      <c r="G29" s="6"/>
      <c r="H29" s="7"/>
    </row>
    <row r="30" spans="1:8" ht="15.6" x14ac:dyDescent="0.3">
      <c r="A30" s="9" t="s">
        <v>26</v>
      </c>
      <c r="B30" s="6"/>
      <c r="C30" s="6"/>
      <c r="D30" s="7"/>
      <c r="E30" s="7"/>
      <c r="F30" s="6"/>
      <c r="G30" s="6"/>
      <c r="H30" s="7"/>
    </row>
    <row r="31" spans="1:8" ht="19.5" customHeight="1" x14ac:dyDescent="0.3">
      <c r="A31" s="8" t="s">
        <v>27</v>
      </c>
      <c r="B31" s="6">
        <v>313</v>
      </c>
      <c r="C31" s="6">
        <v>281</v>
      </c>
      <c r="D31" s="7">
        <f>(C31-B31)/B31</f>
        <v>-0.10223642172523961</v>
      </c>
      <c r="E31" s="7"/>
      <c r="F31" s="6">
        <f>[1]Sept!F31+B31</f>
        <v>2728</v>
      </c>
      <c r="G31" s="6">
        <f>[1]Sept!G31+C31</f>
        <v>3226</v>
      </c>
      <c r="H31" s="7">
        <f>(G31-F31)/F31</f>
        <v>0.18255131964809385</v>
      </c>
    </row>
    <row r="32" spans="1:8" x14ac:dyDescent="0.3">
      <c r="A32" s="8" t="s">
        <v>28</v>
      </c>
      <c r="B32" s="6">
        <v>3510</v>
      </c>
      <c r="C32" s="6">
        <v>2951</v>
      </c>
      <c r="D32" s="7">
        <f>(C32-B32)/B32</f>
        <v>-0.15925925925925927</v>
      </c>
      <c r="E32" s="7"/>
      <c r="F32" s="6">
        <f>[1]Sept!F32+B32</f>
        <v>68928</v>
      </c>
      <c r="G32" s="6">
        <f>[1]Sept!G32+C32</f>
        <v>57880</v>
      </c>
      <c r="H32" s="7">
        <f>(G32-F32)/F32</f>
        <v>-0.16028319405756733</v>
      </c>
    </row>
    <row r="33" spans="1:8" x14ac:dyDescent="0.3">
      <c r="A33" t="s">
        <v>29</v>
      </c>
      <c r="B33" s="6">
        <v>236</v>
      </c>
      <c r="C33" s="6">
        <v>0</v>
      </c>
      <c r="D33" s="7">
        <f>(C33-B33)/B33</f>
        <v>-1</v>
      </c>
      <c r="E33" s="7"/>
      <c r="F33" s="6">
        <v>542</v>
      </c>
      <c r="G33" s="6">
        <f>[1]Sept!G33+C33</f>
        <v>2119</v>
      </c>
      <c r="H33" s="7">
        <f>(G33-F33)/F33</f>
        <v>2.9095940959409594</v>
      </c>
    </row>
    <row r="34" spans="1:8" x14ac:dyDescent="0.3">
      <c r="B34" s="6"/>
      <c r="C34" s="6"/>
      <c r="D34" s="7"/>
      <c r="E34" s="7"/>
      <c r="F34" s="6"/>
      <c r="G34" s="6"/>
      <c r="H34" s="7"/>
    </row>
    <row r="35" spans="1:8" x14ac:dyDescent="0.3">
      <c r="A35" s="8" t="s">
        <v>30</v>
      </c>
      <c r="B35" s="6">
        <v>29</v>
      </c>
      <c r="C35" s="6">
        <v>30</v>
      </c>
      <c r="D35" s="7">
        <f>(C35-B35)/B35</f>
        <v>3.4482758620689655E-2</v>
      </c>
      <c r="E35" s="7"/>
      <c r="F35" s="6">
        <f>[1]Sept!F35+B35</f>
        <v>296.5</v>
      </c>
      <c r="G35" s="6">
        <f>[1]Sept!G35+C35</f>
        <v>290</v>
      </c>
      <c r="H35" s="7">
        <f>(G35-F35)/F35</f>
        <v>-2.1922428330522766E-2</v>
      </c>
    </row>
  </sheetData>
  <pageMargins left="0.7" right="0.7" top="0.93333333333333335" bottom="0.75" header="0.3" footer="0.3"/>
  <pageSetup orientation="portrait" horizontalDpi="300" verticalDpi="300" r:id="rId1"/>
  <headerFooter>
    <oddHeader xml:space="preserve">&amp;C&amp;"-,Bold"&amp;14Berthoud Community Library District
Statistics October 2025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820C-4473-4793-9433-39CF09B76365}">
  <dimension ref="A1:B71"/>
  <sheetViews>
    <sheetView workbookViewId="0">
      <selection activeCell="B15" sqref="B15"/>
    </sheetView>
  </sheetViews>
  <sheetFormatPr defaultColWidth="12.44140625" defaultRowHeight="15.6" outlineLevelRow="5" x14ac:dyDescent="0.3"/>
  <cols>
    <col min="1" max="1" width="35.109375" style="18" customWidth="1"/>
    <col min="2" max="2" width="17.88671875" style="18" customWidth="1"/>
    <col min="3" max="16384" width="12.44140625" style="13"/>
  </cols>
  <sheetData>
    <row r="1" spans="1:2" x14ac:dyDescent="0.3">
      <c r="A1" s="11" t="s">
        <v>31</v>
      </c>
      <c r="B1" s="12"/>
    </row>
    <row r="2" spans="1:2" x14ac:dyDescent="0.3">
      <c r="A2" s="14" t="s">
        <v>32</v>
      </c>
      <c r="B2" s="12"/>
    </row>
    <row r="3" spans="1:2" x14ac:dyDescent="0.3">
      <c r="A3" s="15" t="s">
        <v>33</v>
      </c>
      <c r="B3" s="12"/>
    </row>
    <row r="5" spans="1:2" x14ac:dyDescent="0.3">
      <c r="A5" s="16" t="s">
        <v>34</v>
      </c>
      <c r="B5" s="16" t="s">
        <v>35</v>
      </c>
    </row>
    <row r="6" spans="1:2" x14ac:dyDescent="0.3">
      <c r="A6" s="17" t="s">
        <v>36</v>
      </c>
    </row>
    <row r="7" spans="1:2" outlineLevel="1" x14ac:dyDescent="0.3">
      <c r="A7" s="19" t="s">
        <v>37</v>
      </c>
    </row>
    <row r="8" spans="1:2" outlineLevel="2" x14ac:dyDescent="0.3">
      <c r="A8" s="20" t="s">
        <v>38</v>
      </c>
    </row>
    <row r="9" spans="1:2" outlineLevel="3" x14ac:dyDescent="0.3">
      <c r="A9" s="21" t="s">
        <v>39</v>
      </c>
      <c r="B9" s="22">
        <v>974615.74</v>
      </c>
    </row>
    <row r="10" spans="1:2" outlineLevel="3" x14ac:dyDescent="0.3">
      <c r="A10" s="21" t="s">
        <v>40</v>
      </c>
      <c r="B10" s="22">
        <v>205167.52</v>
      </c>
    </row>
    <row r="11" spans="1:2" outlineLevel="3" x14ac:dyDescent="0.3">
      <c r="A11" s="21" t="s">
        <v>41</v>
      </c>
      <c r="B11" s="22">
        <v>240948.44</v>
      </c>
    </row>
    <row r="12" spans="1:2" outlineLevel="4" x14ac:dyDescent="0.3">
      <c r="A12" s="23" t="s">
        <v>42</v>
      </c>
      <c r="B12" s="22">
        <v>0</v>
      </c>
    </row>
    <row r="13" spans="1:2" outlineLevel="3" x14ac:dyDescent="0.3">
      <c r="A13" s="24" t="s">
        <v>43</v>
      </c>
      <c r="B13" s="25">
        <f>B11+B12</f>
        <v>240948.44</v>
      </c>
    </row>
    <row r="14" spans="1:2" outlineLevel="3" x14ac:dyDescent="0.3">
      <c r="A14" s="21" t="s">
        <v>44</v>
      </c>
      <c r="B14" s="22">
        <v>140</v>
      </c>
    </row>
    <row r="15" spans="1:2" outlineLevel="2" x14ac:dyDescent="0.3">
      <c r="A15" s="26" t="s">
        <v>45</v>
      </c>
      <c r="B15" s="25">
        <f>B8+B9+B10+B13+B14</f>
        <v>1420871.7</v>
      </c>
    </row>
    <row r="16" spans="1:2" outlineLevel="2" x14ac:dyDescent="0.3">
      <c r="A16" s="20" t="s">
        <v>46</v>
      </c>
    </row>
    <row r="17" spans="1:2" outlineLevel="3" x14ac:dyDescent="0.3">
      <c r="A17" s="21"/>
      <c r="B17" s="22"/>
    </row>
    <row r="18" spans="1:2" outlineLevel="2" x14ac:dyDescent="0.3">
      <c r="A18" s="26" t="s">
        <v>47</v>
      </c>
      <c r="B18" s="25">
        <f>B16+B17</f>
        <v>0</v>
      </c>
    </row>
    <row r="19" spans="1:2" outlineLevel="2" x14ac:dyDescent="0.3">
      <c r="A19" s="20" t="s">
        <v>48</v>
      </c>
    </row>
    <row r="20" spans="1:2" outlineLevel="3" x14ac:dyDescent="0.3">
      <c r="A20" s="21" t="s">
        <v>49</v>
      </c>
      <c r="B20" s="22">
        <v>0</v>
      </c>
    </row>
    <row r="21" spans="1:2" outlineLevel="3" x14ac:dyDescent="0.3">
      <c r="A21" s="21" t="s">
        <v>50</v>
      </c>
      <c r="B21" s="22">
        <v>0</v>
      </c>
    </row>
    <row r="22" spans="1:2" outlineLevel="3" x14ac:dyDescent="0.3">
      <c r="A22" s="21" t="s">
        <v>51</v>
      </c>
      <c r="B22" s="22">
        <v>13518.6</v>
      </c>
    </row>
    <row r="23" spans="1:2" outlineLevel="3" x14ac:dyDescent="0.3">
      <c r="A23" s="21" t="s">
        <v>52</v>
      </c>
      <c r="B23" s="22">
        <v>0</v>
      </c>
    </row>
    <row r="24" spans="1:2" outlineLevel="2" x14ac:dyDescent="0.3">
      <c r="A24" s="26" t="s">
        <v>53</v>
      </c>
      <c r="B24" s="25">
        <f>B19+B20+B21+B22+B23</f>
        <v>13518.6</v>
      </c>
    </row>
    <row r="25" spans="1:2" outlineLevel="1" x14ac:dyDescent="0.3">
      <c r="A25" s="27" t="s">
        <v>54</v>
      </c>
      <c r="B25" s="25">
        <f>B7+B15+B18+B24</f>
        <v>1434390.3</v>
      </c>
    </row>
    <row r="26" spans="1:2" outlineLevel="1" x14ac:dyDescent="0.3">
      <c r="A26" s="19" t="s">
        <v>55</v>
      </c>
    </row>
    <row r="27" spans="1:2" outlineLevel="2" x14ac:dyDescent="0.3">
      <c r="A27" s="20" t="s">
        <v>56</v>
      </c>
      <c r="B27" s="22">
        <v>0</v>
      </c>
    </row>
    <row r="28" spans="1:2" outlineLevel="2" x14ac:dyDescent="0.3">
      <c r="A28" s="20" t="s">
        <v>57</v>
      </c>
      <c r="B28" s="22">
        <v>0</v>
      </c>
    </row>
    <row r="29" spans="1:2" outlineLevel="1" x14ac:dyDescent="0.3">
      <c r="A29" s="27" t="s">
        <v>58</v>
      </c>
      <c r="B29" s="25">
        <f>B26+B27+B28</f>
        <v>0</v>
      </c>
    </row>
    <row r="30" spans="1:2" outlineLevel="1" x14ac:dyDescent="0.3">
      <c r="A30" s="19" t="s">
        <v>59</v>
      </c>
    </row>
    <row r="31" spans="1:2" outlineLevel="2" x14ac:dyDescent="0.3">
      <c r="A31" s="20" t="s">
        <v>60</v>
      </c>
      <c r="B31" s="22">
        <v>0</v>
      </c>
    </row>
    <row r="32" spans="1:2" outlineLevel="1" x14ac:dyDescent="0.3">
      <c r="A32" s="27" t="s">
        <v>61</v>
      </c>
      <c r="B32" s="25">
        <f>B30+B31</f>
        <v>0</v>
      </c>
    </row>
    <row r="33" spans="1:2" x14ac:dyDescent="0.3">
      <c r="A33" s="28" t="s">
        <v>62</v>
      </c>
      <c r="B33" s="25">
        <f>B25+B29+B32</f>
        <v>1434390.3</v>
      </c>
    </row>
    <row r="34" spans="1:2" x14ac:dyDescent="0.3">
      <c r="A34" s="17" t="s">
        <v>63</v>
      </c>
    </row>
    <row r="35" spans="1:2" outlineLevel="1" x14ac:dyDescent="0.3">
      <c r="A35" s="19" t="s">
        <v>64</v>
      </c>
    </row>
    <row r="36" spans="1:2" outlineLevel="2" x14ac:dyDescent="0.3">
      <c r="A36" s="20" t="s">
        <v>65</v>
      </c>
    </row>
    <row r="37" spans="1:2" outlineLevel="3" x14ac:dyDescent="0.3">
      <c r="A37" s="21" t="s">
        <v>66</v>
      </c>
    </row>
    <row r="38" spans="1:2" outlineLevel="4" x14ac:dyDescent="0.3">
      <c r="A38" s="23" t="s">
        <v>67</v>
      </c>
      <c r="B38" s="22">
        <v>4670.57</v>
      </c>
    </row>
    <row r="39" spans="1:2" outlineLevel="3" x14ac:dyDescent="0.3">
      <c r="A39" s="24" t="s">
        <v>68</v>
      </c>
      <c r="B39" s="25">
        <f>B37+B38</f>
        <v>4670.57</v>
      </c>
    </row>
    <row r="40" spans="1:2" outlineLevel="3" x14ac:dyDescent="0.3">
      <c r="A40" s="21" t="s">
        <v>69</v>
      </c>
      <c r="B40" s="29"/>
    </row>
    <row r="41" spans="1:2" outlineLevel="3" x14ac:dyDescent="0.3">
      <c r="A41" s="21" t="s">
        <v>70</v>
      </c>
    </row>
    <row r="42" spans="1:2" outlineLevel="4" x14ac:dyDescent="0.3">
      <c r="A42" s="23" t="s">
        <v>71</v>
      </c>
      <c r="B42" s="22">
        <v>6.89</v>
      </c>
    </row>
    <row r="43" spans="1:2" outlineLevel="5" x14ac:dyDescent="0.3">
      <c r="A43" s="30" t="s">
        <v>72</v>
      </c>
      <c r="B43" s="22">
        <v>236</v>
      </c>
    </row>
    <row r="44" spans="1:2" outlineLevel="5" x14ac:dyDescent="0.3">
      <c r="A44" s="30" t="s">
        <v>73</v>
      </c>
      <c r="B44" s="22">
        <v>-402.69</v>
      </c>
    </row>
    <row r="45" spans="1:2" outlineLevel="5" x14ac:dyDescent="0.3">
      <c r="A45" s="30" t="s">
        <v>74</v>
      </c>
      <c r="B45" s="22">
        <v>1481.65</v>
      </c>
    </row>
    <row r="46" spans="1:2" outlineLevel="5" x14ac:dyDescent="0.3">
      <c r="A46" s="30" t="s">
        <v>75</v>
      </c>
      <c r="B46" s="22">
        <v>39.159999999999997</v>
      </c>
    </row>
    <row r="47" spans="1:2" outlineLevel="4" x14ac:dyDescent="0.3">
      <c r="A47" s="31" t="s">
        <v>76</v>
      </c>
      <c r="B47" s="25">
        <f>B42+B43+B44+B45+B46</f>
        <v>1361.0100000000002</v>
      </c>
    </row>
    <row r="48" spans="1:2" outlineLevel="4" x14ac:dyDescent="0.3">
      <c r="A48" s="23" t="s">
        <v>77</v>
      </c>
      <c r="B48" s="22">
        <v>-466.28</v>
      </c>
    </row>
    <row r="49" spans="1:2" outlineLevel="4" x14ac:dyDescent="0.3">
      <c r="A49" s="23"/>
      <c r="B49" s="22"/>
    </row>
    <row r="50" spans="1:2" outlineLevel="4" x14ac:dyDescent="0.3">
      <c r="A50" s="23" t="s">
        <v>78</v>
      </c>
      <c r="B50" s="22">
        <v>0</v>
      </c>
    </row>
    <row r="51" spans="1:2" outlineLevel="3" x14ac:dyDescent="0.3">
      <c r="A51" s="24" t="s">
        <v>79</v>
      </c>
      <c r="B51" s="25">
        <f>B41+B47+B48+B49+B50</f>
        <v>894.73000000000025</v>
      </c>
    </row>
    <row r="52" spans="1:2" outlineLevel="2" x14ac:dyDescent="0.3">
      <c r="A52" s="26" t="s">
        <v>80</v>
      </c>
      <c r="B52" s="25">
        <f>B36+B39+B40+B51</f>
        <v>5565.3</v>
      </c>
    </row>
    <row r="53" spans="1:2" outlineLevel="2" x14ac:dyDescent="0.3">
      <c r="A53" s="20" t="s">
        <v>81</v>
      </c>
    </row>
    <row r="54" spans="1:2" outlineLevel="3" x14ac:dyDescent="0.3">
      <c r="A54" s="21" t="s">
        <v>82</v>
      </c>
      <c r="B54" s="22">
        <v>0</v>
      </c>
    </row>
    <row r="55" spans="1:2" outlineLevel="2" x14ac:dyDescent="0.3">
      <c r="A55" s="26" t="s">
        <v>83</v>
      </c>
      <c r="B55" s="25">
        <f>B53+B54</f>
        <v>0</v>
      </c>
    </row>
    <row r="56" spans="1:2" outlineLevel="1" x14ac:dyDescent="0.3">
      <c r="A56" s="27" t="s">
        <v>84</v>
      </c>
      <c r="B56" s="25">
        <f>B35+B52+B55</f>
        <v>5565.3</v>
      </c>
    </row>
    <row r="57" spans="1:2" outlineLevel="1" x14ac:dyDescent="0.3">
      <c r="A57" s="19" t="s">
        <v>85</v>
      </c>
    </row>
    <row r="58" spans="1:2" outlineLevel="2" x14ac:dyDescent="0.3">
      <c r="A58" s="20" t="s">
        <v>86</v>
      </c>
      <c r="B58" s="22">
        <v>0</v>
      </c>
    </row>
    <row r="59" spans="1:2" outlineLevel="2" x14ac:dyDescent="0.3">
      <c r="A59" s="20" t="s">
        <v>87</v>
      </c>
      <c r="B59" s="22">
        <v>0</v>
      </c>
    </row>
    <row r="60" spans="1:2" outlineLevel="2" x14ac:dyDescent="0.3">
      <c r="A60" s="20" t="s">
        <v>88</v>
      </c>
      <c r="B60" s="22">
        <v>13107.9</v>
      </c>
    </row>
    <row r="61" spans="1:2" outlineLevel="2" x14ac:dyDescent="0.3">
      <c r="A61" s="20" t="s">
        <v>89</v>
      </c>
      <c r="B61" s="22">
        <v>12806.56</v>
      </c>
    </row>
    <row r="62" spans="1:2" outlineLevel="2" x14ac:dyDescent="0.3">
      <c r="A62" s="20" t="s">
        <v>90</v>
      </c>
      <c r="B62" s="22">
        <v>0</v>
      </c>
    </row>
    <row r="63" spans="1:2" outlineLevel="2" x14ac:dyDescent="0.3">
      <c r="A63" s="20" t="s">
        <v>91</v>
      </c>
      <c r="B63" s="22">
        <v>30000</v>
      </c>
    </row>
    <row r="64" spans="1:2" outlineLevel="2" x14ac:dyDescent="0.3">
      <c r="A64" s="20" t="s">
        <v>92</v>
      </c>
      <c r="B64" s="22">
        <v>928700.29999999912</v>
      </c>
    </row>
    <row r="65" spans="1:2" outlineLevel="2" x14ac:dyDescent="0.3">
      <c r="A65" s="20" t="s">
        <v>93</v>
      </c>
      <c r="B65" s="22">
        <v>444210.23999999982</v>
      </c>
    </row>
    <row r="66" spans="1:2" outlineLevel="1" x14ac:dyDescent="0.3">
      <c r="A66" s="27" t="s">
        <v>94</v>
      </c>
      <c r="B66" s="25">
        <f>B57+B58+B59+B60+B61+B62+B63+B64+B65</f>
        <v>1428824.9999999988</v>
      </c>
    </row>
    <row r="67" spans="1:2" x14ac:dyDescent="0.3">
      <c r="A67" s="28" t="s">
        <v>95</v>
      </c>
      <c r="B67" s="25">
        <f>B56+B66</f>
        <v>1434390.2999999989</v>
      </c>
    </row>
    <row r="71" spans="1:2" x14ac:dyDescent="0.3">
      <c r="A71" s="32" t="s">
        <v>96</v>
      </c>
      <c r="B71" s="12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12E4-33C1-4D1B-933F-4E41433A22A9}">
  <dimension ref="A1:BA107"/>
  <sheetViews>
    <sheetView workbookViewId="0">
      <selection activeCell="AZ19" sqref="AZ19"/>
    </sheetView>
  </sheetViews>
  <sheetFormatPr defaultRowHeight="14.4" x14ac:dyDescent="0.3"/>
  <cols>
    <col min="1" max="1" width="29.33203125" style="35" customWidth="1"/>
    <col min="2" max="2" width="11.109375" style="35" hidden="1" customWidth="1"/>
    <col min="3" max="3" width="9.44140625" style="35" hidden="1" customWidth="1"/>
    <col min="4" max="4" width="11.109375" style="35" hidden="1" customWidth="1"/>
    <col min="5" max="6" width="10.33203125" style="35" hidden="1" customWidth="1"/>
    <col min="7" max="7" width="9.44140625" style="35" hidden="1" customWidth="1"/>
    <col min="8" max="8" width="11.109375" style="35" hidden="1" customWidth="1"/>
    <col min="9" max="9" width="10.33203125" style="35" hidden="1" customWidth="1"/>
    <col min="10" max="11" width="9.44140625" style="35" hidden="1" customWidth="1"/>
    <col min="12" max="12" width="11.109375" style="35" hidden="1" customWidth="1"/>
    <col min="13" max="13" width="7.6640625" style="35" hidden="1" customWidth="1"/>
    <col min="14" max="14" width="10.33203125" style="35" hidden="1" customWidth="1"/>
    <col min="15" max="15" width="9.44140625" style="35" hidden="1" customWidth="1"/>
    <col min="16" max="16" width="11.109375" style="35" hidden="1" customWidth="1"/>
    <col min="17" max="17" width="9.44140625" style="35" hidden="1" customWidth="1"/>
    <col min="18" max="18" width="10.33203125" style="35" hidden="1" customWidth="1"/>
    <col min="19" max="19" width="9.44140625" style="35" hidden="1" customWidth="1"/>
    <col min="20" max="20" width="11.109375" style="35" hidden="1" customWidth="1"/>
    <col min="21" max="21" width="9.44140625" style="35" hidden="1" customWidth="1"/>
    <col min="22" max="22" width="10.33203125" style="35" hidden="1" customWidth="1"/>
    <col min="23" max="23" width="9.44140625" style="35" hidden="1" customWidth="1"/>
    <col min="24" max="24" width="11.109375" style="35" hidden="1" customWidth="1"/>
    <col min="25" max="25" width="9.44140625" style="35" hidden="1" customWidth="1"/>
    <col min="26" max="26" width="11.109375" style="35" hidden="1" customWidth="1"/>
    <col min="27" max="27" width="9.44140625" style="35" hidden="1" customWidth="1"/>
    <col min="28" max="28" width="11.109375" style="35" hidden="1" customWidth="1"/>
    <col min="29" max="29" width="10.33203125" style="35" hidden="1" customWidth="1"/>
    <col min="30" max="30" width="11.109375" style="35" hidden="1" customWidth="1"/>
    <col min="31" max="31" width="9.44140625" style="35" hidden="1" customWidth="1"/>
    <col min="32" max="32" width="11.109375" style="35" hidden="1" customWidth="1"/>
    <col min="33" max="33" width="10.33203125" style="35" hidden="1" customWidth="1"/>
    <col min="34" max="34" width="11.109375" style="35" hidden="1" customWidth="1"/>
    <col min="35" max="35" width="9.44140625" style="35" hidden="1" customWidth="1"/>
    <col min="36" max="36" width="11.109375" style="35" hidden="1" customWidth="1"/>
    <col min="37" max="37" width="10.33203125" style="35" hidden="1" customWidth="1"/>
    <col min="38" max="38" width="11.109375" style="35" hidden="1" customWidth="1"/>
    <col min="39" max="39" width="9.44140625" style="35" hidden="1" customWidth="1"/>
    <col min="40" max="40" width="11.109375" style="35" hidden="1" customWidth="1"/>
    <col min="41" max="41" width="8.5546875" style="35" hidden="1" customWidth="1"/>
    <col min="42" max="42" width="7.6640625" style="35" hidden="1" customWidth="1"/>
    <col min="43" max="43" width="9.44140625" style="35" hidden="1" customWidth="1"/>
    <col min="44" max="44" width="11.109375" style="35" hidden="1" customWidth="1"/>
    <col min="45" max="46" width="7.6640625" style="35" hidden="1" customWidth="1"/>
    <col min="47" max="47" width="9.44140625" style="35" hidden="1" customWidth="1"/>
    <col min="48" max="48" width="11.109375" style="35" hidden="1" customWidth="1"/>
    <col min="49" max="49" width="7.6640625" style="35" hidden="1" customWidth="1"/>
    <col min="50" max="50" width="12" style="35" customWidth="1"/>
    <col min="51" max="51" width="10.33203125" style="35" customWidth="1"/>
    <col min="52" max="52" width="12" style="35" customWidth="1"/>
    <col min="53" max="53" width="9.44140625" style="35" customWidth="1"/>
    <col min="54" max="16384" width="8.88671875" style="35"/>
  </cols>
  <sheetData>
    <row r="1" spans="1:53" ht="17.399999999999999" x14ac:dyDescent="0.3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</row>
    <row r="2" spans="1:53" ht="17.399999999999999" x14ac:dyDescent="0.3">
      <c r="A2" s="33" t="s">
        <v>97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spans="1:53" x14ac:dyDescent="0.3">
      <c r="A3" s="36" t="s">
        <v>98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</row>
    <row r="5" spans="1:53" x14ac:dyDescent="0.3">
      <c r="A5" s="37"/>
      <c r="B5" s="38" t="s">
        <v>99</v>
      </c>
      <c r="C5" s="39"/>
      <c r="D5" s="39"/>
      <c r="E5" s="39"/>
      <c r="F5" s="38" t="s">
        <v>100</v>
      </c>
      <c r="G5" s="39"/>
      <c r="H5" s="39"/>
      <c r="I5" s="39"/>
      <c r="J5" s="38" t="s">
        <v>101</v>
      </c>
      <c r="K5" s="39"/>
      <c r="L5" s="39"/>
      <c r="M5" s="39"/>
      <c r="N5" s="38" t="s">
        <v>102</v>
      </c>
      <c r="O5" s="39"/>
      <c r="P5" s="39"/>
      <c r="Q5" s="39"/>
      <c r="R5" s="38" t="s">
        <v>103</v>
      </c>
      <c r="S5" s="39"/>
      <c r="T5" s="39"/>
      <c r="U5" s="39"/>
      <c r="V5" s="38" t="s">
        <v>104</v>
      </c>
      <c r="W5" s="39"/>
      <c r="X5" s="39"/>
      <c r="Y5" s="39"/>
      <c r="Z5" s="38" t="s">
        <v>105</v>
      </c>
      <c r="AA5" s="39"/>
      <c r="AB5" s="39"/>
      <c r="AC5" s="39"/>
      <c r="AD5" s="38" t="s">
        <v>106</v>
      </c>
      <c r="AE5" s="39"/>
      <c r="AF5" s="39"/>
      <c r="AG5" s="39"/>
      <c r="AH5" s="38" t="s">
        <v>107</v>
      </c>
      <c r="AI5" s="39"/>
      <c r="AJ5" s="39"/>
      <c r="AK5" s="39"/>
      <c r="AL5" s="38" t="s">
        <v>108</v>
      </c>
      <c r="AM5" s="39"/>
      <c r="AN5" s="39"/>
      <c r="AO5" s="39"/>
      <c r="AP5" s="38" t="s">
        <v>109</v>
      </c>
      <c r="AQ5" s="39"/>
      <c r="AR5" s="39"/>
      <c r="AS5" s="39"/>
      <c r="AT5" s="38" t="s">
        <v>110</v>
      </c>
      <c r="AU5" s="39"/>
      <c r="AV5" s="39"/>
      <c r="AW5" s="39"/>
      <c r="AX5" s="38" t="s">
        <v>35</v>
      </c>
      <c r="AY5" s="39"/>
      <c r="AZ5" s="39"/>
      <c r="BA5" s="39"/>
    </row>
    <row r="6" spans="1:53" ht="24.6" x14ac:dyDescent="0.3">
      <c r="A6" s="37"/>
      <c r="B6" s="40" t="s">
        <v>111</v>
      </c>
      <c r="C6" s="40" t="s">
        <v>112</v>
      </c>
      <c r="D6" s="40" t="s">
        <v>113</v>
      </c>
      <c r="E6" s="40" t="s">
        <v>114</v>
      </c>
      <c r="F6" s="40" t="s">
        <v>111</v>
      </c>
      <c r="G6" s="40" t="s">
        <v>112</v>
      </c>
      <c r="H6" s="40" t="s">
        <v>113</v>
      </c>
      <c r="I6" s="40" t="s">
        <v>114</v>
      </c>
      <c r="J6" s="40" t="s">
        <v>111</v>
      </c>
      <c r="K6" s="40" t="s">
        <v>112</v>
      </c>
      <c r="L6" s="40" t="s">
        <v>113</v>
      </c>
      <c r="M6" s="40" t="s">
        <v>114</v>
      </c>
      <c r="N6" s="40" t="s">
        <v>111</v>
      </c>
      <c r="O6" s="40" t="s">
        <v>112</v>
      </c>
      <c r="P6" s="40" t="s">
        <v>113</v>
      </c>
      <c r="Q6" s="40" t="s">
        <v>114</v>
      </c>
      <c r="R6" s="40" t="s">
        <v>111</v>
      </c>
      <c r="S6" s="40" t="s">
        <v>112</v>
      </c>
      <c r="T6" s="40" t="s">
        <v>113</v>
      </c>
      <c r="U6" s="40" t="s">
        <v>114</v>
      </c>
      <c r="V6" s="40" t="s">
        <v>111</v>
      </c>
      <c r="W6" s="40" t="s">
        <v>112</v>
      </c>
      <c r="X6" s="40" t="s">
        <v>113</v>
      </c>
      <c r="Y6" s="40" t="s">
        <v>114</v>
      </c>
      <c r="Z6" s="40" t="s">
        <v>111</v>
      </c>
      <c r="AA6" s="40" t="s">
        <v>112</v>
      </c>
      <c r="AB6" s="40" t="s">
        <v>113</v>
      </c>
      <c r="AC6" s="40" t="s">
        <v>114</v>
      </c>
      <c r="AD6" s="40" t="s">
        <v>111</v>
      </c>
      <c r="AE6" s="40" t="s">
        <v>112</v>
      </c>
      <c r="AF6" s="40" t="s">
        <v>113</v>
      </c>
      <c r="AG6" s="40" t="s">
        <v>114</v>
      </c>
      <c r="AH6" s="40" t="s">
        <v>111</v>
      </c>
      <c r="AI6" s="40" t="s">
        <v>112</v>
      </c>
      <c r="AJ6" s="40" t="s">
        <v>113</v>
      </c>
      <c r="AK6" s="40" t="s">
        <v>114</v>
      </c>
      <c r="AL6" s="40" t="s">
        <v>111</v>
      </c>
      <c r="AM6" s="40" t="s">
        <v>112</v>
      </c>
      <c r="AN6" s="40" t="s">
        <v>113</v>
      </c>
      <c r="AO6" s="40" t="s">
        <v>114</v>
      </c>
      <c r="AP6" s="40" t="s">
        <v>111</v>
      </c>
      <c r="AQ6" s="40" t="s">
        <v>112</v>
      </c>
      <c r="AR6" s="40" t="s">
        <v>113</v>
      </c>
      <c r="AS6" s="40" t="s">
        <v>114</v>
      </c>
      <c r="AT6" s="40" t="s">
        <v>111</v>
      </c>
      <c r="AU6" s="40" t="s">
        <v>112</v>
      </c>
      <c r="AV6" s="40" t="s">
        <v>113</v>
      </c>
      <c r="AW6" s="40" t="s">
        <v>114</v>
      </c>
      <c r="AX6" s="40" t="s">
        <v>111</v>
      </c>
      <c r="AY6" s="40" t="s">
        <v>112</v>
      </c>
      <c r="AZ6" s="40" t="s">
        <v>113</v>
      </c>
      <c r="BA6" s="40" t="s">
        <v>114</v>
      </c>
    </row>
    <row r="7" spans="1:53" x14ac:dyDescent="0.3">
      <c r="A7" s="41" t="s">
        <v>115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spans="1:53" x14ac:dyDescent="0.3">
      <c r="A8" s="41" t="s">
        <v>116</v>
      </c>
      <c r="B8" s="43">
        <f>62.06</f>
        <v>62.06</v>
      </c>
      <c r="C8" s="42"/>
      <c r="D8" s="43">
        <f t="shared" ref="D8:D22" si="0">(B8)-(C8)</f>
        <v>62.06</v>
      </c>
      <c r="E8" s="44" t="str">
        <f t="shared" ref="E8:E22" si="1">IF(C8=0,"",(B8)/(C8))</f>
        <v/>
      </c>
      <c r="F8" s="43">
        <f>500</f>
        <v>500</v>
      </c>
      <c r="G8" s="42"/>
      <c r="H8" s="43">
        <f t="shared" ref="H8:H22" si="2">(F8)-(G8)</f>
        <v>500</v>
      </c>
      <c r="I8" s="44" t="str">
        <f t="shared" ref="I8:I22" si="3">IF(G8=0,"",(F8)/(G8))</f>
        <v/>
      </c>
      <c r="J8" s="42"/>
      <c r="K8" s="42"/>
      <c r="L8" s="43">
        <f t="shared" ref="L8:L22" si="4">(J8)-(K8)</f>
        <v>0</v>
      </c>
      <c r="M8" s="44" t="str">
        <f t="shared" ref="M8:M22" si="5">IF(K8=0,"",(J8)/(K8))</f>
        <v/>
      </c>
      <c r="N8" s="43">
        <f>2.4</f>
        <v>2.4</v>
      </c>
      <c r="O8" s="42"/>
      <c r="P8" s="43">
        <f t="shared" ref="P8:P22" si="6">(N8)-(O8)</f>
        <v>2.4</v>
      </c>
      <c r="Q8" s="44" t="str">
        <f t="shared" ref="Q8:Q22" si="7">IF(O8=0,"",(N8)/(O8))</f>
        <v/>
      </c>
      <c r="R8" s="43">
        <f>42.66</f>
        <v>42.66</v>
      </c>
      <c r="S8" s="42"/>
      <c r="T8" s="43">
        <f t="shared" ref="T8:T22" si="8">(R8)-(S8)</f>
        <v>42.66</v>
      </c>
      <c r="U8" s="44" t="str">
        <f t="shared" ref="U8:U22" si="9">IF(S8=0,"",(R8)/(S8))</f>
        <v/>
      </c>
      <c r="V8" s="43">
        <f>1</f>
        <v>1</v>
      </c>
      <c r="W8" s="42"/>
      <c r="X8" s="43">
        <f t="shared" ref="X8:X22" si="10">(V8)-(W8)</f>
        <v>1</v>
      </c>
      <c r="Y8" s="44" t="str">
        <f t="shared" ref="Y8:Y22" si="11">IF(W8=0,"",(V8)/(W8))</f>
        <v/>
      </c>
      <c r="Z8" s="42"/>
      <c r="AA8" s="42"/>
      <c r="AB8" s="43">
        <f t="shared" ref="AB8:AB22" si="12">(Z8)-(AA8)</f>
        <v>0</v>
      </c>
      <c r="AC8" s="44" t="str">
        <f t="shared" ref="AC8:AC22" si="13">IF(AA8=0,"",(Z8)/(AA8))</f>
        <v/>
      </c>
      <c r="AD8" s="42"/>
      <c r="AE8" s="42"/>
      <c r="AF8" s="43">
        <f t="shared" ref="AF8:AF22" si="14">(AD8)-(AE8)</f>
        <v>0</v>
      </c>
      <c r="AG8" s="44" t="str">
        <f t="shared" ref="AG8:AG22" si="15">IF(AE8=0,"",(AD8)/(AE8))</f>
        <v/>
      </c>
      <c r="AH8" s="42"/>
      <c r="AI8" s="42"/>
      <c r="AJ8" s="43">
        <f t="shared" ref="AJ8:AJ22" si="16">(AH8)-(AI8)</f>
        <v>0</v>
      </c>
      <c r="AK8" s="44" t="str">
        <f t="shared" ref="AK8:AK22" si="17">IF(AI8=0,"",(AH8)/(AI8))</f>
        <v/>
      </c>
      <c r="AL8" s="42"/>
      <c r="AM8" s="42"/>
      <c r="AN8" s="43">
        <f t="shared" ref="AN8:AN22" si="18">(AL8)-(AM8)</f>
        <v>0</v>
      </c>
      <c r="AO8" s="44" t="str">
        <f t="shared" ref="AO8:AO22" si="19">IF(AM8=0,"",(AL8)/(AM8))</f>
        <v/>
      </c>
      <c r="AP8" s="42"/>
      <c r="AQ8" s="42"/>
      <c r="AR8" s="43">
        <f t="shared" ref="AR8:AR22" si="20">(AP8)-(AQ8)</f>
        <v>0</v>
      </c>
      <c r="AS8" s="44" t="str">
        <f t="shared" ref="AS8:AS22" si="21">IF(AQ8=0,"",(AP8)/(AQ8))</f>
        <v/>
      </c>
      <c r="AT8" s="42"/>
      <c r="AU8" s="42"/>
      <c r="AV8" s="43">
        <f t="shared" ref="AV8:AV22" si="22">(AT8)-(AU8)</f>
        <v>0</v>
      </c>
      <c r="AW8" s="44" t="str">
        <f t="shared" ref="AW8:AW22" si="23">IF(AU8=0,"",(AT8)/(AU8))</f>
        <v/>
      </c>
      <c r="AX8" s="43">
        <f t="shared" ref="AX8:AY22" si="24">(((((((((((B8)+(F8))+(J8))+(N8))+(R8))+(V8))+(Z8))+(AD8))+(AH8))+(AL8))+(AP8))+(AT8)</f>
        <v>608.11999999999989</v>
      </c>
      <c r="AY8" s="43">
        <f t="shared" si="24"/>
        <v>0</v>
      </c>
      <c r="AZ8" s="43">
        <f t="shared" ref="AZ8:AZ22" si="25">(AX8)-(AY8)</f>
        <v>608.11999999999989</v>
      </c>
      <c r="BA8" s="44" t="str">
        <f t="shared" ref="BA8:BA22" si="26">IF(AY8=0,"",(AX8)/(AY8))</f>
        <v/>
      </c>
    </row>
    <row r="9" spans="1:53" x14ac:dyDescent="0.3">
      <c r="A9" s="41" t="s">
        <v>117</v>
      </c>
      <c r="B9" s="42"/>
      <c r="C9" s="43">
        <f>291.67</f>
        <v>291.67</v>
      </c>
      <c r="D9" s="43">
        <f t="shared" si="0"/>
        <v>-291.67</v>
      </c>
      <c r="E9" s="44">
        <f t="shared" si="1"/>
        <v>0</v>
      </c>
      <c r="F9" s="42"/>
      <c r="G9" s="43">
        <f>291.67</f>
        <v>291.67</v>
      </c>
      <c r="H9" s="43">
        <f t="shared" si="2"/>
        <v>-291.67</v>
      </c>
      <c r="I9" s="44">
        <f t="shared" si="3"/>
        <v>0</v>
      </c>
      <c r="J9" s="42"/>
      <c r="K9" s="43">
        <f>291.67</f>
        <v>291.67</v>
      </c>
      <c r="L9" s="43">
        <f t="shared" si="4"/>
        <v>-291.67</v>
      </c>
      <c r="M9" s="44">
        <f t="shared" si="5"/>
        <v>0</v>
      </c>
      <c r="N9" s="42"/>
      <c r="O9" s="43">
        <f>291.67</f>
        <v>291.67</v>
      </c>
      <c r="P9" s="43">
        <f t="shared" si="6"/>
        <v>-291.67</v>
      </c>
      <c r="Q9" s="44">
        <f t="shared" si="7"/>
        <v>0</v>
      </c>
      <c r="R9" s="42"/>
      <c r="S9" s="43">
        <f>291.67</f>
        <v>291.67</v>
      </c>
      <c r="T9" s="43">
        <f t="shared" si="8"/>
        <v>-291.67</v>
      </c>
      <c r="U9" s="44">
        <f t="shared" si="9"/>
        <v>0</v>
      </c>
      <c r="V9" s="42"/>
      <c r="W9" s="43">
        <f>291.67</f>
        <v>291.67</v>
      </c>
      <c r="X9" s="43">
        <f t="shared" si="10"/>
        <v>-291.67</v>
      </c>
      <c r="Y9" s="44">
        <f t="shared" si="11"/>
        <v>0</v>
      </c>
      <c r="Z9" s="42"/>
      <c r="AA9" s="43">
        <f>291.67</f>
        <v>291.67</v>
      </c>
      <c r="AB9" s="43">
        <f t="shared" si="12"/>
        <v>-291.67</v>
      </c>
      <c r="AC9" s="44">
        <f t="shared" si="13"/>
        <v>0</v>
      </c>
      <c r="AD9" s="42"/>
      <c r="AE9" s="43">
        <f>291.67</f>
        <v>291.67</v>
      </c>
      <c r="AF9" s="43">
        <f t="shared" si="14"/>
        <v>-291.67</v>
      </c>
      <c r="AG9" s="44">
        <f t="shared" si="15"/>
        <v>0</v>
      </c>
      <c r="AH9" s="42"/>
      <c r="AI9" s="43">
        <f>291.67</f>
        <v>291.67</v>
      </c>
      <c r="AJ9" s="43">
        <f t="shared" si="16"/>
        <v>-291.67</v>
      </c>
      <c r="AK9" s="44">
        <f t="shared" si="17"/>
        <v>0</v>
      </c>
      <c r="AL9" s="42"/>
      <c r="AM9" s="43">
        <f>291.67</f>
        <v>291.67</v>
      </c>
      <c r="AN9" s="43">
        <f t="shared" si="18"/>
        <v>-291.67</v>
      </c>
      <c r="AO9" s="44">
        <f t="shared" si="19"/>
        <v>0</v>
      </c>
      <c r="AP9" s="42"/>
      <c r="AQ9" s="43">
        <f>291.67</f>
        <v>291.67</v>
      </c>
      <c r="AR9" s="43">
        <f t="shared" si="20"/>
        <v>-291.67</v>
      </c>
      <c r="AS9" s="44">
        <f t="shared" si="21"/>
        <v>0</v>
      </c>
      <c r="AT9" s="42"/>
      <c r="AU9" s="43">
        <f>291.63</f>
        <v>291.63</v>
      </c>
      <c r="AV9" s="43">
        <f t="shared" si="22"/>
        <v>-291.63</v>
      </c>
      <c r="AW9" s="44">
        <f t="shared" si="23"/>
        <v>0</v>
      </c>
      <c r="AX9" s="43">
        <f t="shared" si="24"/>
        <v>0</v>
      </c>
      <c r="AY9" s="43">
        <f t="shared" si="24"/>
        <v>3500.0000000000005</v>
      </c>
      <c r="AZ9" s="43">
        <f t="shared" si="25"/>
        <v>-3500.0000000000005</v>
      </c>
      <c r="BA9" s="44">
        <f t="shared" si="26"/>
        <v>0</v>
      </c>
    </row>
    <row r="10" spans="1:53" x14ac:dyDescent="0.3">
      <c r="A10" s="41" t="s">
        <v>118</v>
      </c>
      <c r="B10" s="42"/>
      <c r="C10" s="43">
        <f>766.67</f>
        <v>766.67</v>
      </c>
      <c r="D10" s="43">
        <f t="shared" si="0"/>
        <v>-766.67</v>
      </c>
      <c r="E10" s="44">
        <f t="shared" si="1"/>
        <v>0</v>
      </c>
      <c r="F10" s="42"/>
      <c r="G10" s="43">
        <f>766.67</f>
        <v>766.67</v>
      </c>
      <c r="H10" s="43">
        <f t="shared" si="2"/>
        <v>-766.67</v>
      </c>
      <c r="I10" s="44">
        <f t="shared" si="3"/>
        <v>0</v>
      </c>
      <c r="J10" s="42"/>
      <c r="K10" s="43">
        <f>766.67</f>
        <v>766.67</v>
      </c>
      <c r="L10" s="43">
        <f t="shared" si="4"/>
        <v>-766.67</v>
      </c>
      <c r="M10" s="44">
        <f t="shared" si="5"/>
        <v>0</v>
      </c>
      <c r="N10" s="42"/>
      <c r="O10" s="43">
        <f>766.67</f>
        <v>766.67</v>
      </c>
      <c r="P10" s="43">
        <f t="shared" si="6"/>
        <v>-766.67</v>
      </c>
      <c r="Q10" s="44">
        <f t="shared" si="7"/>
        <v>0</v>
      </c>
      <c r="R10" s="42"/>
      <c r="S10" s="43">
        <f>766.67</f>
        <v>766.67</v>
      </c>
      <c r="T10" s="43">
        <f t="shared" si="8"/>
        <v>-766.67</v>
      </c>
      <c r="U10" s="44">
        <f t="shared" si="9"/>
        <v>0</v>
      </c>
      <c r="V10" s="42"/>
      <c r="W10" s="43">
        <f>766.67</f>
        <v>766.67</v>
      </c>
      <c r="X10" s="43">
        <f t="shared" si="10"/>
        <v>-766.67</v>
      </c>
      <c r="Y10" s="44">
        <f t="shared" si="11"/>
        <v>0</v>
      </c>
      <c r="Z10" s="42"/>
      <c r="AA10" s="43">
        <f>766.67</f>
        <v>766.67</v>
      </c>
      <c r="AB10" s="43">
        <f t="shared" si="12"/>
        <v>-766.67</v>
      </c>
      <c r="AC10" s="44">
        <f t="shared" si="13"/>
        <v>0</v>
      </c>
      <c r="AD10" s="42"/>
      <c r="AE10" s="43">
        <f>766.67</f>
        <v>766.67</v>
      </c>
      <c r="AF10" s="43">
        <f t="shared" si="14"/>
        <v>-766.67</v>
      </c>
      <c r="AG10" s="44">
        <f t="shared" si="15"/>
        <v>0</v>
      </c>
      <c r="AH10" s="42"/>
      <c r="AI10" s="43">
        <f>766.67</f>
        <v>766.67</v>
      </c>
      <c r="AJ10" s="43">
        <f t="shared" si="16"/>
        <v>-766.67</v>
      </c>
      <c r="AK10" s="44">
        <f t="shared" si="17"/>
        <v>0</v>
      </c>
      <c r="AL10" s="42"/>
      <c r="AM10" s="43">
        <f>766.67</f>
        <v>766.67</v>
      </c>
      <c r="AN10" s="43">
        <f t="shared" si="18"/>
        <v>-766.67</v>
      </c>
      <c r="AO10" s="44">
        <f t="shared" si="19"/>
        <v>0</v>
      </c>
      <c r="AP10" s="42"/>
      <c r="AQ10" s="43">
        <f>766.67</f>
        <v>766.67</v>
      </c>
      <c r="AR10" s="43">
        <f t="shared" si="20"/>
        <v>-766.67</v>
      </c>
      <c r="AS10" s="44">
        <f t="shared" si="21"/>
        <v>0</v>
      </c>
      <c r="AT10" s="42"/>
      <c r="AU10" s="43">
        <f>766.63</f>
        <v>766.63</v>
      </c>
      <c r="AV10" s="43">
        <f t="shared" si="22"/>
        <v>-766.63</v>
      </c>
      <c r="AW10" s="44">
        <f t="shared" si="23"/>
        <v>0</v>
      </c>
      <c r="AX10" s="43">
        <f t="shared" si="24"/>
        <v>0</v>
      </c>
      <c r="AY10" s="43">
        <f t="shared" si="24"/>
        <v>9199.9999999999982</v>
      </c>
      <c r="AZ10" s="43">
        <f t="shared" si="25"/>
        <v>-9199.9999999999982</v>
      </c>
      <c r="BA10" s="44">
        <f t="shared" si="26"/>
        <v>0</v>
      </c>
    </row>
    <row r="11" spans="1:53" x14ac:dyDescent="0.3">
      <c r="A11" s="41" t="s">
        <v>119</v>
      </c>
      <c r="B11" s="42"/>
      <c r="C11" s="42"/>
      <c r="D11" s="43">
        <f t="shared" si="0"/>
        <v>0</v>
      </c>
      <c r="E11" s="44" t="str">
        <f t="shared" si="1"/>
        <v/>
      </c>
      <c r="F11" s="42"/>
      <c r="G11" s="42"/>
      <c r="H11" s="43">
        <f t="shared" si="2"/>
        <v>0</v>
      </c>
      <c r="I11" s="44" t="str">
        <f t="shared" si="3"/>
        <v/>
      </c>
      <c r="J11" s="42"/>
      <c r="K11" s="42"/>
      <c r="L11" s="43">
        <f t="shared" si="4"/>
        <v>0</v>
      </c>
      <c r="M11" s="44" t="str">
        <f t="shared" si="5"/>
        <v/>
      </c>
      <c r="N11" s="42"/>
      <c r="O11" s="42"/>
      <c r="P11" s="43">
        <f t="shared" si="6"/>
        <v>0</v>
      </c>
      <c r="Q11" s="44" t="str">
        <f t="shared" si="7"/>
        <v/>
      </c>
      <c r="R11" s="42"/>
      <c r="S11" s="42"/>
      <c r="T11" s="43">
        <f t="shared" si="8"/>
        <v>0</v>
      </c>
      <c r="U11" s="44" t="str">
        <f t="shared" si="9"/>
        <v/>
      </c>
      <c r="V11" s="43">
        <f>1</f>
        <v>1</v>
      </c>
      <c r="W11" s="42"/>
      <c r="X11" s="43">
        <f t="shared" si="10"/>
        <v>1</v>
      </c>
      <c r="Y11" s="44" t="str">
        <f t="shared" si="11"/>
        <v/>
      </c>
      <c r="Z11" s="42"/>
      <c r="AA11" s="42"/>
      <c r="AB11" s="43">
        <f t="shared" si="12"/>
        <v>0</v>
      </c>
      <c r="AC11" s="44" t="str">
        <f t="shared" si="13"/>
        <v/>
      </c>
      <c r="AD11" s="42"/>
      <c r="AE11" s="42"/>
      <c r="AF11" s="43">
        <f t="shared" si="14"/>
        <v>0</v>
      </c>
      <c r="AG11" s="44" t="str">
        <f t="shared" si="15"/>
        <v/>
      </c>
      <c r="AH11" s="42"/>
      <c r="AI11" s="42"/>
      <c r="AJ11" s="43">
        <f t="shared" si="16"/>
        <v>0</v>
      </c>
      <c r="AK11" s="44" t="str">
        <f t="shared" si="17"/>
        <v/>
      </c>
      <c r="AL11" s="42"/>
      <c r="AM11" s="42"/>
      <c r="AN11" s="43">
        <f t="shared" si="18"/>
        <v>0</v>
      </c>
      <c r="AO11" s="44" t="str">
        <f t="shared" si="19"/>
        <v/>
      </c>
      <c r="AP11" s="42"/>
      <c r="AQ11" s="42"/>
      <c r="AR11" s="43">
        <f t="shared" si="20"/>
        <v>0</v>
      </c>
      <c r="AS11" s="44" t="str">
        <f t="shared" si="21"/>
        <v/>
      </c>
      <c r="AT11" s="42"/>
      <c r="AU11" s="42"/>
      <c r="AV11" s="43">
        <f t="shared" si="22"/>
        <v>0</v>
      </c>
      <c r="AW11" s="44" t="str">
        <f t="shared" si="23"/>
        <v/>
      </c>
      <c r="AX11" s="43">
        <f t="shared" si="24"/>
        <v>1</v>
      </c>
      <c r="AY11" s="43">
        <f t="shared" si="24"/>
        <v>0</v>
      </c>
      <c r="AZ11" s="43">
        <f t="shared" si="25"/>
        <v>1</v>
      </c>
      <c r="BA11" s="44" t="str">
        <f t="shared" si="26"/>
        <v/>
      </c>
    </row>
    <row r="12" spans="1:53" x14ac:dyDescent="0.3">
      <c r="A12" s="41" t="s">
        <v>120</v>
      </c>
      <c r="B12" s="45">
        <f>(((B8)+(B9))+(B10))+(B11)</f>
        <v>62.06</v>
      </c>
      <c r="C12" s="45">
        <f>(((C8)+(C9))+(C10))+(C11)</f>
        <v>1058.3399999999999</v>
      </c>
      <c r="D12" s="45">
        <f t="shared" si="0"/>
        <v>-996.28</v>
      </c>
      <c r="E12" s="46">
        <f t="shared" si="1"/>
        <v>5.8639000699208202E-2</v>
      </c>
      <c r="F12" s="45">
        <f>(((F8)+(F9))+(F10))+(F11)</f>
        <v>500</v>
      </c>
      <c r="G12" s="45">
        <f>(((G8)+(G9))+(G10))+(G11)</f>
        <v>1058.3399999999999</v>
      </c>
      <c r="H12" s="45">
        <f t="shared" si="2"/>
        <v>-558.33999999999992</v>
      </c>
      <c r="I12" s="46">
        <f t="shared" si="3"/>
        <v>0.47243796889468415</v>
      </c>
      <c r="J12" s="45">
        <f>(((J8)+(J9))+(J10))+(J11)</f>
        <v>0</v>
      </c>
      <c r="K12" s="45">
        <f>(((K8)+(K9))+(K10))+(K11)</f>
        <v>1058.3399999999999</v>
      </c>
      <c r="L12" s="45">
        <f t="shared" si="4"/>
        <v>-1058.3399999999999</v>
      </c>
      <c r="M12" s="46">
        <f t="shared" si="5"/>
        <v>0</v>
      </c>
      <c r="N12" s="45">
        <f>(((N8)+(N9))+(N10))+(N11)</f>
        <v>2.4</v>
      </c>
      <c r="O12" s="45">
        <f>(((O8)+(O9))+(O10))+(O11)</f>
        <v>1058.3399999999999</v>
      </c>
      <c r="P12" s="45">
        <f t="shared" si="6"/>
        <v>-1055.9399999999998</v>
      </c>
      <c r="Q12" s="46">
        <f t="shared" si="7"/>
        <v>2.2677022506944837E-3</v>
      </c>
      <c r="R12" s="45">
        <f>(((R8)+(R9))+(R10))+(R11)</f>
        <v>42.66</v>
      </c>
      <c r="S12" s="45">
        <f>(((S8)+(S9))+(S10))+(S11)</f>
        <v>1058.3399999999999</v>
      </c>
      <c r="T12" s="45">
        <f t="shared" si="8"/>
        <v>-1015.68</v>
      </c>
      <c r="U12" s="46">
        <f t="shared" si="9"/>
        <v>4.0308407506094449E-2</v>
      </c>
      <c r="V12" s="45">
        <f>(((V8)+(V9))+(V10))+(V11)</f>
        <v>2</v>
      </c>
      <c r="W12" s="45">
        <f>(((W8)+(W9))+(W10))+(W11)</f>
        <v>1058.3399999999999</v>
      </c>
      <c r="X12" s="45">
        <f t="shared" si="10"/>
        <v>-1056.3399999999999</v>
      </c>
      <c r="Y12" s="46">
        <f t="shared" si="11"/>
        <v>1.8897518755787367E-3</v>
      </c>
      <c r="Z12" s="45">
        <f>(((Z8)+(Z9))+(Z10))+(Z11)</f>
        <v>0</v>
      </c>
      <c r="AA12" s="45">
        <f>(((AA8)+(AA9))+(AA10))+(AA11)</f>
        <v>1058.3399999999999</v>
      </c>
      <c r="AB12" s="45">
        <f t="shared" si="12"/>
        <v>-1058.3399999999999</v>
      </c>
      <c r="AC12" s="46">
        <f t="shared" si="13"/>
        <v>0</v>
      </c>
      <c r="AD12" s="45">
        <f>(((AD8)+(AD9))+(AD10))+(AD11)</f>
        <v>0</v>
      </c>
      <c r="AE12" s="45">
        <f>(((AE8)+(AE9))+(AE10))+(AE11)</f>
        <v>1058.3399999999999</v>
      </c>
      <c r="AF12" s="45">
        <f t="shared" si="14"/>
        <v>-1058.3399999999999</v>
      </c>
      <c r="AG12" s="46">
        <f t="shared" si="15"/>
        <v>0</v>
      </c>
      <c r="AH12" s="45">
        <f>(((AH8)+(AH9))+(AH10))+(AH11)</f>
        <v>0</v>
      </c>
      <c r="AI12" s="45">
        <f>(((AI8)+(AI9))+(AI10))+(AI11)</f>
        <v>1058.3399999999999</v>
      </c>
      <c r="AJ12" s="45">
        <f t="shared" si="16"/>
        <v>-1058.3399999999999</v>
      </c>
      <c r="AK12" s="46">
        <f t="shared" si="17"/>
        <v>0</v>
      </c>
      <c r="AL12" s="45">
        <f>(((AL8)+(AL9))+(AL10))+(AL11)</f>
        <v>0</v>
      </c>
      <c r="AM12" s="45">
        <f>(((AM8)+(AM9))+(AM10))+(AM11)</f>
        <v>1058.3399999999999</v>
      </c>
      <c r="AN12" s="45">
        <f t="shared" si="18"/>
        <v>-1058.3399999999999</v>
      </c>
      <c r="AO12" s="46">
        <f t="shared" si="19"/>
        <v>0</v>
      </c>
      <c r="AP12" s="45">
        <f>(((AP8)+(AP9))+(AP10))+(AP11)</f>
        <v>0</v>
      </c>
      <c r="AQ12" s="45">
        <f>(((AQ8)+(AQ9))+(AQ10))+(AQ11)</f>
        <v>1058.3399999999999</v>
      </c>
      <c r="AR12" s="45">
        <f t="shared" si="20"/>
        <v>-1058.3399999999999</v>
      </c>
      <c r="AS12" s="46">
        <f t="shared" si="21"/>
        <v>0</v>
      </c>
      <c r="AT12" s="45">
        <f>(((AT8)+(AT9))+(AT10))+(AT11)</f>
        <v>0</v>
      </c>
      <c r="AU12" s="45">
        <f>(((AU8)+(AU9))+(AU10))+(AU11)</f>
        <v>1058.26</v>
      </c>
      <c r="AV12" s="45">
        <f t="shared" si="22"/>
        <v>-1058.26</v>
      </c>
      <c r="AW12" s="46">
        <f t="shared" si="23"/>
        <v>0</v>
      </c>
      <c r="AX12" s="45">
        <f t="shared" si="24"/>
        <v>609.11999999999989</v>
      </c>
      <c r="AY12" s="45">
        <f t="shared" si="24"/>
        <v>12700</v>
      </c>
      <c r="AZ12" s="45">
        <f t="shared" si="25"/>
        <v>-12090.880000000001</v>
      </c>
      <c r="BA12" s="46">
        <f t="shared" si="26"/>
        <v>4.7962204724409443E-2</v>
      </c>
    </row>
    <row r="13" spans="1:53" x14ac:dyDescent="0.3">
      <c r="A13" s="41" t="s">
        <v>121</v>
      </c>
      <c r="B13" s="42"/>
      <c r="C13" s="42"/>
      <c r="D13" s="43">
        <f t="shared" si="0"/>
        <v>0</v>
      </c>
      <c r="E13" s="44" t="str">
        <f t="shared" si="1"/>
        <v/>
      </c>
      <c r="F13" s="42"/>
      <c r="G13" s="42"/>
      <c r="H13" s="43">
        <f t="shared" si="2"/>
        <v>0</v>
      </c>
      <c r="I13" s="44" t="str">
        <f t="shared" si="3"/>
        <v/>
      </c>
      <c r="J13" s="42"/>
      <c r="K13" s="42"/>
      <c r="L13" s="43">
        <f t="shared" si="4"/>
        <v>0</v>
      </c>
      <c r="M13" s="44" t="str">
        <f t="shared" si="5"/>
        <v/>
      </c>
      <c r="N13" s="42"/>
      <c r="O13" s="42"/>
      <c r="P13" s="43">
        <f t="shared" si="6"/>
        <v>0</v>
      </c>
      <c r="Q13" s="44" t="str">
        <f t="shared" si="7"/>
        <v/>
      </c>
      <c r="R13" s="42"/>
      <c r="S13" s="42"/>
      <c r="T13" s="43">
        <f t="shared" si="8"/>
        <v>0</v>
      </c>
      <c r="U13" s="44" t="str">
        <f t="shared" si="9"/>
        <v/>
      </c>
      <c r="V13" s="42"/>
      <c r="W13" s="42"/>
      <c r="X13" s="43">
        <f t="shared" si="10"/>
        <v>0</v>
      </c>
      <c r="Y13" s="44" t="str">
        <f t="shared" si="11"/>
        <v/>
      </c>
      <c r="Z13" s="42"/>
      <c r="AA13" s="42"/>
      <c r="AB13" s="43">
        <f t="shared" si="12"/>
        <v>0</v>
      </c>
      <c r="AC13" s="44" t="str">
        <f t="shared" si="13"/>
        <v/>
      </c>
      <c r="AD13" s="42"/>
      <c r="AE13" s="42"/>
      <c r="AF13" s="43">
        <f t="shared" si="14"/>
        <v>0</v>
      </c>
      <c r="AG13" s="44" t="str">
        <f t="shared" si="15"/>
        <v/>
      </c>
      <c r="AH13" s="42"/>
      <c r="AI13" s="42"/>
      <c r="AJ13" s="43">
        <f t="shared" si="16"/>
        <v>0</v>
      </c>
      <c r="AK13" s="44" t="str">
        <f t="shared" si="17"/>
        <v/>
      </c>
      <c r="AL13" s="42"/>
      <c r="AM13" s="42"/>
      <c r="AN13" s="43">
        <f t="shared" si="18"/>
        <v>0</v>
      </c>
      <c r="AO13" s="44" t="str">
        <f t="shared" si="19"/>
        <v/>
      </c>
      <c r="AP13" s="42"/>
      <c r="AQ13" s="42"/>
      <c r="AR13" s="43">
        <f t="shared" si="20"/>
        <v>0</v>
      </c>
      <c r="AS13" s="44" t="str">
        <f t="shared" si="21"/>
        <v/>
      </c>
      <c r="AT13" s="42"/>
      <c r="AU13" s="42"/>
      <c r="AV13" s="43">
        <f t="shared" si="22"/>
        <v>0</v>
      </c>
      <c r="AW13" s="44" t="str">
        <f t="shared" si="23"/>
        <v/>
      </c>
      <c r="AX13" s="43">
        <f t="shared" si="24"/>
        <v>0</v>
      </c>
      <c r="AY13" s="43">
        <f t="shared" si="24"/>
        <v>0</v>
      </c>
      <c r="AZ13" s="43">
        <f t="shared" si="25"/>
        <v>0</v>
      </c>
      <c r="BA13" s="44" t="str">
        <f t="shared" si="26"/>
        <v/>
      </c>
    </row>
    <row r="14" spans="1:53" x14ac:dyDescent="0.3">
      <c r="A14" s="41" t="s">
        <v>122</v>
      </c>
      <c r="B14" s="42"/>
      <c r="C14" s="42"/>
      <c r="D14" s="43">
        <f t="shared" si="0"/>
        <v>0</v>
      </c>
      <c r="E14" s="44" t="str">
        <f t="shared" si="1"/>
        <v/>
      </c>
      <c r="F14" s="42"/>
      <c r="G14" s="42"/>
      <c r="H14" s="43">
        <f t="shared" si="2"/>
        <v>0</v>
      </c>
      <c r="I14" s="44" t="str">
        <f t="shared" si="3"/>
        <v/>
      </c>
      <c r="J14" s="43">
        <f>9460</f>
        <v>9460</v>
      </c>
      <c r="K14" s="42"/>
      <c r="L14" s="43">
        <f t="shared" si="4"/>
        <v>9460</v>
      </c>
      <c r="M14" s="44" t="str">
        <f t="shared" si="5"/>
        <v/>
      </c>
      <c r="N14" s="42"/>
      <c r="O14" s="42"/>
      <c r="P14" s="43">
        <f t="shared" si="6"/>
        <v>0</v>
      </c>
      <c r="Q14" s="44" t="str">
        <f t="shared" si="7"/>
        <v/>
      </c>
      <c r="R14" s="42"/>
      <c r="S14" s="42"/>
      <c r="T14" s="43">
        <f t="shared" si="8"/>
        <v>0</v>
      </c>
      <c r="U14" s="44" t="str">
        <f t="shared" si="9"/>
        <v/>
      </c>
      <c r="V14" s="42"/>
      <c r="W14" s="42"/>
      <c r="X14" s="43">
        <f t="shared" si="10"/>
        <v>0</v>
      </c>
      <c r="Y14" s="44" t="str">
        <f t="shared" si="11"/>
        <v/>
      </c>
      <c r="Z14" s="42"/>
      <c r="AA14" s="42"/>
      <c r="AB14" s="43">
        <f t="shared" si="12"/>
        <v>0</v>
      </c>
      <c r="AC14" s="44" t="str">
        <f t="shared" si="13"/>
        <v/>
      </c>
      <c r="AD14" s="42"/>
      <c r="AE14" s="42"/>
      <c r="AF14" s="43">
        <f t="shared" si="14"/>
        <v>0</v>
      </c>
      <c r="AG14" s="44" t="str">
        <f t="shared" si="15"/>
        <v/>
      </c>
      <c r="AH14" s="42"/>
      <c r="AI14" s="42"/>
      <c r="AJ14" s="43">
        <f t="shared" si="16"/>
        <v>0</v>
      </c>
      <c r="AK14" s="44" t="str">
        <f t="shared" si="17"/>
        <v/>
      </c>
      <c r="AL14" s="42"/>
      <c r="AM14" s="42"/>
      <c r="AN14" s="43">
        <f t="shared" si="18"/>
        <v>0</v>
      </c>
      <c r="AO14" s="44" t="str">
        <f t="shared" si="19"/>
        <v/>
      </c>
      <c r="AP14" s="42"/>
      <c r="AQ14" s="42"/>
      <c r="AR14" s="43">
        <f t="shared" si="20"/>
        <v>0</v>
      </c>
      <c r="AS14" s="44" t="str">
        <f t="shared" si="21"/>
        <v/>
      </c>
      <c r="AT14" s="42"/>
      <c r="AU14" s="42"/>
      <c r="AV14" s="43">
        <f t="shared" si="22"/>
        <v>0</v>
      </c>
      <c r="AW14" s="44" t="str">
        <f t="shared" si="23"/>
        <v/>
      </c>
      <c r="AX14" s="43">
        <f t="shared" si="24"/>
        <v>9460</v>
      </c>
      <c r="AY14" s="43">
        <f t="shared" si="24"/>
        <v>0</v>
      </c>
      <c r="AZ14" s="43">
        <f t="shared" si="25"/>
        <v>9460</v>
      </c>
      <c r="BA14" s="44" t="str">
        <f t="shared" si="26"/>
        <v/>
      </c>
    </row>
    <row r="15" spans="1:53" x14ac:dyDescent="0.3">
      <c r="A15" s="41" t="s">
        <v>123</v>
      </c>
      <c r="B15" s="45">
        <f>(B13)+(B14)</f>
        <v>0</v>
      </c>
      <c r="C15" s="45">
        <f>(C13)+(C14)</f>
        <v>0</v>
      </c>
      <c r="D15" s="45">
        <f t="shared" si="0"/>
        <v>0</v>
      </c>
      <c r="E15" s="46" t="str">
        <f t="shared" si="1"/>
        <v/>
      </c>
      <c r="F15" s="45">
        <f>(F13)+(F14)</f>
        <v>0</v>
      </c>
      <c r="G15" s="45">
        <f>(G13)+(G14)</f>
        <v>0</v>
      </c>
      <c r="H15" s="45">
        <f t="shared" si="2"/>
        <v>0</v>
      </c>
      <c r="I15" s="46" t="str">
        <f t="shared" si="3"/>
        <v/>
      </c>
      <c r="J15" s="45">
        <f>(J13)+(J14)</f>
        <v>9460</v>
      </c>
      <c r="K15" s="45">
        <f>(K13)+(K14)</f>
        <v>0</v>
      </c>
      <c r="L15" s="45">
        <f t="shared" si="4"/>
        <v>9460</v>
      </c>
      <c r="M15" s="46" t="str">
        <f t="shared" si="5"/>
        <v/>
      </c>
      <c r="N15" s="45">
        <f>(N13)+(N14)</f>
        <v>0</v>
      </c>
      <c r="O15" s="45">
        <f>(O13)+(O14)</f>
        <v>0</v>
      </c>
      <c r="P15" s="45">
        <f t="shared" si="6"/>
        <v>0</v>
      </c>
      <c r="Q15" s="46" t="str">
        <f t="shared" si="7"/>
        <v/>
      </c>
      <c r="R15" s="45">
        <f>(R13)+(R14)</f>
        <v>0</v>
      </c>
      <c r="S15" s="45">
        <f>(S13)+(S14)</f>
        <v>0</v>
      </c>
      <c r="T15" s="45">
        <f t="shared" si="8"/>
        <v>0</v>
      </c>
      <c r="U15" s="46" t="str">
        <f t="shared" si="9"/>
        <v/>
      </c>
      <c r="V15" s="45">
        <f>(V13)+(V14)</f>
        <v>0</v>
      </c>
      <c r="W15" s="45">
        <f>(W13)+(W14)</f>
        <v>0</v>
      </c>
      <c r="X15" s="45">
        <f t="shared" si="10"/>
        <v>0</v>
      </c>
      <c r="Y15" s="46" t="str">
        <f t="shared" si="11"/>
        <v/>
      </c>
      <c r="Z15" s="45">
        <f>(Z13)+(Z14)</f>
        <v>0</v>
      </c>
      <c r="AA15" s="45">
        <f>(AA13)+(AA14)</f>
        <v>0</v>
      </c>
      <c r="AB15" s="45">
        <f t="shared" si="12"/>
        <v>0</v>
      </c>
      <c r="AC15" s="46" t="str">
        <f t="shared" si="13"/>
        <v/>
      </c>
      <c r="AD15" s="45">
        <f>(AD13)+(AD14)</f>
        <v>0</v>
      </c>
      <c r="AE15" s="45">
        <f>(AE13)+(AE14)</f>
        <v>0</v>
      </c>
      <c r="AF15" s="45">
        <f t="shared" si="14"/>
        <v>0</v>
      </c>
      <c r="AG15" s="46" t="str">
        <f t="shared" si="15"/>
        <v/>
      </c>
      <c r="AH15" s="45">
        <f>(AH13)+(AH14)</f>
        <v>0</v>
      </c>
      <c r="AI15" s="45">
        <f>(AI13)+(AI14)</f>
        <v>0</v>
      </c>
      <c r="AJ15" s="45">
        <f t="shared" si="16"/>
        <v>0</v>
      </c>
      <c r="AK15" s="46" t="str">
        <f t="shared" si="17"/>
        <v/>
      </c>
      <c r="AL15" s="45">
        <f>(AL13)+(AL14)</f>
        <v>0</v>
      </c>
      <c r="AM15" s="45">
        <f>(AM13)+(AM14)</f>
        <v>0</v>
      </c>
      <c r="AN15" s="45">
        <f t="shared" si="18"/>
        <v>0</v>
      </c>
      <c r="AO15" s="46" t="str">
        <f t="shared" si="19"/>
        <v/>
      </c>
      <c r="AP15" s="45">
        <f>(AP13)+(AP14)</f>
        <v>0</v>
      </c>
      <c r="AQ15" s="45">
        <f>(AQ13)+(AQ14)</f>
        <v>0</v>
      </c>
      <c r="AR15" s="45">
        <f t="shared" si="20"/>
        <v>0</v>
      </c>
      <c r="AS15" s="46" t="str">
        <f t="shared" si="21"/>
        <v/>
      </c>
      <c r="AT15" s="45">
        <f>(AT13)+(AT14)</f>
        <v>0</v>
      </c>
      <c r="AU15" s="45">
        <f>(AU13)+(AU14)</f>
        <v>0</v>
      </c>
      <c r="AV15" s="45">
        <f t="shared" si="22"/>
        <v>0</v>
      </c>
      <c r="AW15" s="46" t="str">
        <f t="shared" si="23"/>
        <v/>
      </c>
      <c r="AX15" s="45">
        <f t="shared" si="24"/>
        <v>9460</v>
      </c>
      <c r="AY15" s="45">
        <f t="shared" si="24"/>
        <v>0</v>
      </c>
      <c r="AZ15" s="45">
        <f t="shared" si="25"/>
        <v>9460</v>
      </c>
      <c r="BA15" s="46" t="str">
        <f t="shared" si="26"/>
        <v/>
      </c>
    </row>
    <row r="16" spans="1:53" x14ac:dyDescent="0.3">
      <c r="A16" s="41" t="s">
        <v>124</v>
      </c>
      <c r="B16" s="43">
        <f>257.54</f>
        <v>257.54000000000002</v>
      </c>
      <c r="C16" s="43">
        <f>141.67</f>
        <v>141.66999999999999</v>
      </c>
      <c r="D16" s="43">
        <f t="shared" si="0"/>
        <v>115.87000000000003</v>
      </c>
      <c r="E16" s="44">
        <f t="shared" si="1"/>
        <v>1.81788663796146</v>
      </c>
      <c r="F16" s="43">
        <f>149.9</f>
        <v>149.9</v>
      </c>
      <c r="G16" s="43">
        <f>141.67</f>
        <v>141.66999999999999</v>
      </c>
      <c r="H16" s="43">
        <f t="shared" si="2"/>
        <v>8.2300000000000182</v>
      </c>
      <c r="I16" s="44">
        <f t="shared" si="3"/>
        <v>1.0580927507588058</v>
      </c>
      <c r="J16" s="42"/>
      <c r="K16" s="43">
        <f>141.67</f>
        <v>141.66999999999999</v>
      </c>
      <c r="L16" s="43">
        <f t="shared" si="4"/>
        <v>-141.66999999999999</v>
      </c>
      <c r="M16" s="44">
        <f t="shared" si="5"/>
        <v>0</v>
      </c>
      <c r="N16" s="43">
        <f>563.4</f>
        <v>563.4</v>
      </c>
      <c r="O16" s="43">
        <f>141.67</f>
        <v>141.66999999999999</v>
      </c>
      <c r="P16" s="43">
        <f t="shared" si="6"/>
        <v>421.73</v>
      </c>
      <c r="Q16" s="44">
        <f t="shared" si="7"/>
        <v>3.976847603585798</v>
      </c>
      <c r="R16" s="43">
        <f>263</f>
        <v>263</v>
      </c>
      <c r="S16" s="43">
        <f>141.67</f>
        <v>141.66999999999999</v>
      </c>
      <c r="T16" s="43">
        <f t="shared" si="8"/>
        <v>121.33000000000001</v>
      </c>
      <c r="U16" s="44">
        <f t="shared" si="9"/>
        <v>1.8564269076021742</v>
      </c>
      <c r="V16" s="43">
        <f>391.8</f>
        <v>391.8</v>
      </c>
      <c r="W16" s="43">
        <f>141.67</f>
        <v>141.66999999999999</v>
      </c>
      <c r="X16" s="43">
        <f t="shared" si="10"/>
        <v>250.13000000000002</v>
      </c>
      <c r="Y16" s="44">
        <f t="shared" si="11"/>
        <v>2.7655819863062048</v>
      </c>
      <c r="Z16" s="43">
        <f>85.3</f>
        <v>85.3</v>
      </c>
      <c r="AA16" s="43">
        <f>141.67</f>
        <v>141.66999999999999</v>
      </c>
      <c r="AB16" s="43">
        <f t="shared" si="12"/>
        <v>-56.36999999999999</v>
      </c>
      <c r="AC16" s="44">
        <f t="shared" si="13"/>
        <v>0.60210347991811963</v>
      </c>
      <c r="AD16" s="42"/>
      <c r="AE16" s="43">
        <f>141.67</f>
        <v>141.66999999999999</v>
      </c>
      <c r="AF16" s="43">
        <f t="shared" si="14"/>
        <v>-141.66999999999999</v>
      </c>
      <c r="AG16" s="44">
        <f t="shared" si="15"/>
        <v>0</v>
      </c>
      <c r="AH16" s="43">
        <f>412.12</f>
        <v>412.12</v>
      </c>
      <c r="AI16" s="43">
        <f>141.67</f>
        <v>141.66999999999999</v>
      </c>
      <c r="AJ16" s="43">
        <f t="shared" si="16"/>
        <v>270.45000000000005</v>
      </c>
      <c r="AK16" s="44">
        <f t="shared" si="17"/>
        <v>2.9090139055551636</v>
      </c>
      <c r="AL16" s="42"/>
      <c r="AM16" s="43">
        <f>141.67</f>
        <v>141.66999999999999</v>
      </c>
      <c r="AN16" s="43">
        <f t="shared" si="18"/>
        <v>-141.66999999999999</v>
      </c>
      <c r="AO16" s="44">
        <f t="shared" si="19"/>
        <v>0</v>
      </c>
      <c r="AP16" s="42"/>
      <c r="AQ16" s="43">
        <f>141.67</f>
        <v>141.66999999999999</v>
      </c>
      <c r="AR16" s="43">
        <f t="shared" si="20"/>
        <v>-141.66999999999999</v>
      </c>
      <c r="AS16" s="44">
        <f t="shared" si="21"/>
        <v>0</v>
      </c>
      <c r="AT16" s="42"/>
      <c r="AU16" s="43">
        <f>141.63</f>
        <v>141.63</v>
      </c>
      <c r="AV16" s="43">
        <f t="shared" si="22"/>
        <v>-141.63</v>
      </c>
      <c r="AW16" s="44">
        <f t="shared" si="23"/>
        <v>0</v>
      </c>
      <c r="AX16" s="43">
        <f t="shared" si="24"/>
        <v>2123.06</v>
      </c>
      <c r="AY16" s="43">
        <f t="shared" si="24"/>
        <v>1700</v>
      </c>
      <c r="AZ16" s="43">
        <f t="shared" si="25"/>
        <v>423.05999999999995</v>
      </c>
      <c r="BA16" s="44">
        <f t="shared" si="26"/>
        <v>1.2488588235294118</v>
      </c>
    </row>
    <row r="17" spans="1:53" x14ac:dyDescent="0.3">
      <c r="A17" s="41" t="s">
        <v>125</v>
      </c>
      <c r="B17" s="43">
        <f>26.12</f>
        <v>26.12</v>
      </c>
      <c r="C17" s="43">
        <f>41.67</f>
        <v>41.67</v>
      </c>
      <c r="D17" s="43">
        <f t="shared" si="0"/>
        <v>-15.55</v>
      </c>
      <c r="E17" s="44">
        <f t="shared" si="1"/>
        <v>0.62682985361171106</v>
      </c>
      <c r="F17" s="43">
        <f>260.17</f>
        <v>260.17</v>
      </c>
      <c r="G17" s="43">
        <f>41.67</f>
        <v>41.67</v>
      </c>
      <c r="H17" s="43">
        <f t="shared" si="2"/>
        <v>218.5</v>
      </c>
      <c r="I17" s="44">
        <f t="shared" si="3"/>
        <v>6.2435805135589151</v>
      </c>
      <c r="J17" s="42"/>
      <c r="K17" s="43">
        <f>41.67</f>
        <v>41.67</v>
      </c>
      <c r="L17" s="43">
        <f t="shared" si="4"/>
        <v>-41.67</v>
      </c>
      <c r="M17" s="44">
        <f t="shared" si="5"/>
        <v>0</v>
      </c>
      <c r="N17" s="43">
        <f>17.96</f>
        <v>17.96</v>
      </c>
      <c r="O17" s="43">
        <f>41.67</f>
        <v>41.67</v>
      </c>
      <c r="P17" s="43">
        <f t="shared" si="6"/>
        <v>-23.71</v>
      </c>
      <c r="Q17" s="44">
        <f t="shared" si="7"/>
        <v>0.4310055195584353</v>
      </c>
      <c r="R17" s="43">
        <f>12.92</f>
        <v>12.92</v>
      </c>
      <c r="S17" s="43">
        <f>41.67</f>
        <v>41.67</v>
      </c>
      <c r="T17" s="43">
        <f t="shared" si="8"/>
        <v>-28.75</v>
      </c>
      <c r="U17" s="44">
        <f t="shared" si="9"/>
        <v>0.31005519558435324</v>
      </c>
      <c r="V17" s="43">
        <f>49.48</f>
        <v>49.48</v>
      </c>
      <c r="W17" s="43">
        <f>41.67</f>
        <v>41.67</v>
      </c>
      <c r="X17" s="43">
        <f t="shared" si="10"/>
        <v>7.8099999999999952</v>
      </c>
      <c r="Y17" s="44">
        <f t="shared" si="11"/>
        <v>1.1874250059995199</v>
      </c>
      <c r="Z17" s="43">
        <f>57.47</f>
        <v>57.47</v>
      </c>
      <c r="AA17" s="43">
        <f>41.67</f>
        <v>41.67</v>
      </c>
      <c r="AB17" s="43">
        <f t="shared" si="12"/>
        <v>15.799999999999997</v>
      </c>
      <c r="AC17" s="44">
        <f t="shared" si="13"/>
        <v>1.3791696664266857</v>
      </c>
      <c r="AD17" s="43">
        <f>83.52</f>
        <v>83.52</v>
      </c>
      <c r="AE17" s="43">
        <f>41.67</f>
        <v>41.67</v>
      </c>
      <c r="AF17" s="43">
        <f t="shared" si="14"/>
        <v>41.849999999999994</v>
      </c>
      <c r="AG17" s="44">
        <f t="shared" si="15"/>
        <v>2.0043196544276456</v>
      </c>
      <c r="AH17" s="43">
        <f>963.01</f>
        <v>963.01</v>
      </c>
      <c r="AI17" s="43">
        <f>41.67</f>
        <v>41.67</v>
      </c>
      <c r="AJ17" s="43">
        <f t="shared" si="16"/>
        <v>921.34</v>
      </c>
      <c r="AK17" s="44">
        <f t="shared" si="17"/>
        <v>23.110391168706503</v>
      </c>
      <c r="AL17" s="42"/>
      <c r="AM17" s="43">
        <f>41.67</f>
        <v>41.67</v>
      </c>
      <c r="AN17" s="43">
        <f t="shared" si="18"/>
        <v>-41.67</v>
      </c>
      <c r="AO17" s="44">
        <f t="shared" si="19"/>
        <v>0</v>
      </c>
      <c r="AP17" s="42"/>
      <c r="AQ17" s="43">
        <f>41.67</f>
        <v>41.67</v>
      </c>
      <c r="AR17" s="43">
        <f t="shared" si="20"/>
        <v>-41.67</v>
      </c>
      <c r="AS17" s="44">
        <f t="shared" si="21"/>
        <v>0</v>
      </c>
      <c r="AT17" s="42"/>
      <c r="AU17" s="43">
        <f>41.63</f>
        <v>41.63</v>
      </c>
      <c r="AV17" s="43">
        <f t="shared" si="22"/>
        <v>-41.63</v>
      </c>
      <c r="AW17" s="44">
        <f t="shared" si="23"/>
        <v>0</v>
      </c>
      <c r="AX17" s="43">
        <f t="shared" si="24"/>
        <v>1470.65</v>
      </c>
      <c r="AY17" s="43">
        <f t="shared" si="24"/>
        <v>500.00000000000011</v>
      </c>
      <c r="AZ17" s="43">
        <f t="shared" si="25"/>
        <v>970.65</v>
      </c>
      <c r="BA17" s="44">
        <f t="shared" si="26"/>
        <v>2.9412999999999996</v>
      </c>
    </row>
    <row r="18" spans="1:53" x14ac:dyDescent="0.3">
      <c r="A18" s="41" t="s">
        <v>126</v>
      </c>
      <c r="B18" s="43">
        <f>287.64</f>
        <v>287.64</v>
      </c>
      <c r="C18" s="43">
        <f>208.33</f>
        <v>208.33</v>
      </c>
      <c r="D18" s="43">
        <f t="shared" si="0"/>
        <v>79.309999999999974</v>
      </c>
      <c r="E18" s="44">
        <f t="shared" si="1"/>
        <v>1.3806940911054575</v>
      </c>
      <c r="F18" s="43">
        <f>335.63</f>
        <v>335.63</v>
      </c>
      <c r="G18" s="43">
        <f>208.33</f>
        <v>208.33</v>
      </c>
      <c r="H18" s="43">
        <f t="shared" si="2"/>
        <v>127.29999999999998</v>
      </c>
      <c r="I18" s="44">
        <f t="shared" si="3"/>
        <v>1.6110497767964287</v>
      </c>
      <c r="J18" s="43">
        <f>372.26</f>
        <v>372.26</v>
      </c>
      <c r="K18" s="43">
        <f>208.33</f>
        <v>208.33</v>
      </c>
      <c r="L18" s="43">
        <f t="shared" si="4"/>
        <v>163.92999999999998</v>
      </c>
      <c r="M18" s="44">
        <f t="shared" si="5"/>
        <v>1.7868765900254402</v>
      </c>
      <c r="N18" s="43">
        <f>4036.33</f>
        <v>4036.33</v>
      </c>
      <c r="O18" s="43">
        <f>208.33</f>
        <v>208.33</v>
      </c>
      <c r="P18" s="43">
        <f t="shared" si="6"/>
        <v>3828</v>
      </c>
      <c r="Q18" s="44">
        <f t="shared" si="7"/>
        <v>19.374693995103922</v>
      </c>
      <c r="R18" s="43">
        <f>3577.82</f>
        <v>3577.82</v>
      </c>
      <c r="S18" s="43">
        <f>208.33</f>
        <v>208.33</v>
      </c>
      <c r="T18" s="43">
        <f t="shared" si="8"/>
        <v>3369.4900000000002</v>
      </c>
      <c r="U18" s="44">
        <f t="shared" si="9"/>
        <v>17.173810780972495</v>
      </c>
      <c r="V18" s="43">
        <f>2467.56</f>
        <v>2467.56</v>
      </c>
      <c r="W18" s="43">
        <f>208.33</f>
        <v>208.33</v>
      </c>
      <c r="X18" s="43">
        <f t="shared" si="10"/>
        <v>2259.23</v>
      </c>
      <c r="Y18" s="44">
        <f t="shared" si="11"/>
        <v>11.844477511640186</v>
      </c>
      <c r="Z18" s="43">
        <f>4836.83</f>
        <v>4836.83</v>
      </c>
      <c r="AA18" s="43">
        <f>208.33</f>
        <v>208.33</v>
      </c>
      <c r="AB18" s="43">
        <f t="shared" si="12"/>
        <v>4628.5</v>
      </c>
      <c r="AC18" s="44">
        <f t="shared" si="13"/>
        <v>23.217155474487591</v>
      </c>
      <c r="AD18" s="43">
        <f>5474.05</f>
        <v>5474.05</v>
      </c>
      <c r="AE18" s="43">
        <f>208.33</f>
        <v>208.33</v>
      </c>
      <c r="AF18" s="43">
        <f t="shared" si="14"/>
        <v>5265.72</v>
      </c>
      <c r="AG18" s="44">
        <f t="shared" si="15"/>
        <v>26.275860413766619</v>
      </c>
      <c r="AH18" s="43">
        <f>6502.27</f>
        <v>6502.27</v>
      </c>
      <c r="AI18" s="43">
        <f>208.33</f>
        <v>208.33</v>
      </c>
      <c r="AJ18" s="43">
        <f t="shared" si="16"/>
        <v>6293.9400000000005</v>
      </c>
      <c r="AK18" s="44">
        <f t="shared" si="17"/>
        <v>31.211395382326117</v>
      </c>
      <c r="AL18" s="42"/>
      <c r="AM18" s="43">
        <f>208.33</f>
        <v>208.33</v>
      </c>
      <c r="AN18" s="43">
        <f t="shared" si="18"/>
        <v>-208.33</v>
      </c>
      <c r="AO18" s="44">
        <f t="shared" si="19"/>
        <v>0</v>
      </c>
      <c r="AP18" s="42"/>
      <c r="AQ18" s="43">
        <f>208.33</f>
        <v>208.33</v>
      </c>
      <c r="AR18" s="43">
        <f t="shared" si="20"/>
        <v>-208.33</v>
      </c>
      <c r="AS18" s="44">
        <f t="shared" si="21"/>
        <v>0</v>
      </c>
      <c r="AT18" s="42"/>
      <c r="AU18" s="43">
        <f>208.37</f>
        <v>208.37</v>
      </c>
      <c r="AV18" s="43">
        <f t="shared" si="22"/>
        <v>-208.37</v>
      </c>
      <c r="AW18" s="44">
        <f t="shared" si="23"/>
        <v>0</v>
      </c>
      <c r="AX18" s="43">
        <f t="shared" si="24"/>
        <v>27890.39</v>
      </c>
      <c r="AY18" s="43">
        <f t="shared" si="24"/>
        <v>2499.9999999999995</v>
      </c>
      <c r="AZ18" s="43">
        <f t="shared" si="25"/>
        <v>25390.39</v>
      </c>
      <c r="BA18" s="44">
        <f t="shared" si="26"/>
        <v>11.156156000000001</v>
      </c>
    </row>
    <row r="19" spans="1:53" x14ac:dyDescent="0.3">
      <c r="A19" s="41" t="s">
        <v>127</v>
      </c>
      <c r="B19" s="43">
        <f>23483.18</f>
        <v>23483.18</v>
      </c>
      <c r="C19" s="43">
        <f>77866.25</f>
        <v>77866.25</v>
      </c>
      <c r="D19" s="43">
        <f t="shared" si="0"/>
        <v>-54383.07</v>
      </c>
      <c r="E19" s="44">
        <f t="shared" si="1"/>
        <v>0.30158354871333859</v>
      </c>
      <c r="F19" s="43">
        <f>336669.33</f>
        <v>336669.33</v>
      </c>
      <c r="G19" s="43">
        <f>77866.25</f>
        <v>77866.25</v>
      </c>
      <c r="H19" s="43">
        <f t="shared" si="2"/>
        <v>258803.08000000002</v>
      </c>
      <c r="I19" s="44">
        <f t="shared" si="3"/>
        <v>4.3236874769235714</v>
      </c>
      <c r="J19" s="43">
        <f>51629.76</f>
        <v>51629.760000000002</v>
      </c>
      <c r="K19" s="43">
        <f>77866.25</f>
        <v>77866.25</v>
      </c>
      <c r="L19" s="43">
        <f t="shared" si="4"/>
        <v>-26236.489999999998</v>
      </c>
      <c r="M19" s="44">
        <f t="shared" si="5"/>
        <v>0.66305697269356112</v>
      </c>
      <c r="N19" s="43">
        <f>182766.38</f>
        <v>182766.38</v>
      </c>
      <c r="O19" s="43">
        <f>77866.25</f>
        <v>77866.25</v>
      </c>
      <c r="P19" s="43">
        <f t="shared" si="6"/>
        <v>104900.13</v>
      </c>
      <c r="Q19" s="44">
        <f t="shared" si="7"/>
        <v>2.347183535870804</v>
      </c>
      <c r="R19" s="43">
        <f>43509.17</f>
        <v>43509.17</v>
      </c>
      <c r="S19" s="43">
        <f>77866.25</f>
        <v>77866.25</v>
      </c>
      <c r="T19" s="43">
        <f t="shared" si="8"/>
        <v>-34357.08</v>
      </c>
      <c r="U19" s="44">
        <f t="shared" si="9"/>
        <v>0.55876801566789203</v>
      </c>
      <c r="V19" s="43">
        <f>269756.15</f>
        <v>269756.15000000002</v>
      </c>
      <c r="W19" s="43">
        <f>77866.25</f>
        <v>77866.25</v>
      </c>
      <c r="X19" s="43">
        <f t="shared" si="10"/>
        <v>191889.90000000002</v>
      </c>
      <c r="Y19" s="44">
        <f t="shared" si="11"/>
        <v>3.4643526559966613</v>
      </c>
      <c r="Z19" s="43">
        <f>9425.94</f>
        <v>9425.94</v>
      </c>
      <c r="AA19" s="43">
        <f>77866.25</f>
        <v>77866.25</v>
      </c>
      <c r="AB19" s="43">
        <f t="shared" si="12"/>
        <v>-68440.31</v>
      </c>
      <c r="AC19" s="44">
        <f t="shared" si="13"/>
        <v>0.1210529594015379</v>
      </c>
      <c r="AD19" s="43">
        <f>5020.8</f>
        <v>5020.8</v>
      </c>
      <c r="AE19" s="43">
        <f>77866.25</f>
        <v>77866.25</v>
      </c>
      <c r="AF19" s="43">
        <f t="shared" si="14"/>
        <v>-72845.45</v>
      </c>
      <c r="AG19" s="44">
        <f t="shared" si="15"/>
        <v>6.4479797087955315E-2</v>
      </c>
      <c r="AH19" s="43">
        <f>949.5</f>
        <v>949.5</v>
      </c>
      <c r="AI19" s="43">
        <f>77866.25</f>
        <v>77866.25</v>
      </c>
      <c r="AJ19" s="43">
        <f t="shared" si="16"/>
        <v>-76916.75</v>
      </c>
      <c r="AK19" s="44">
        <f t="shared" si="17"/>
        <v>1.2193986483232467E-2</v>
      </c>
      <c r="AL19" s="42"/>
      <c r="AM19" s="43">
        <f>77866.25</f>
        <v>77866.25</v>
      </c>
      <c r="AN19" s="43">
        <f t="shared" si="18"/>
        <v>-77866.25</v>
      </c>
      <c r="AO19" s="44">
        <f t="shared" si="19"/>
        <v>0</v>
      </c>
      <c r="AP19" s="42"/>
      <c r="AQ19" s="43">
        <f>77866.25</f>
        <v>77866.25</v>
      </c>
      <c r="AR19" s="43">
        <f t="shared" si="20"/>
        <v>-77866.25</v>
      </c>
      <c r="AS19" s="44">
        <f t="shared" si="21"/>
        <v>0</v>
      </c>
      <c r="AT19" s="42"/>
      <c r="AU19" s="43">
        <f>77866.25</f>
        <v>77866.25</v>
      </c>
      <c r="AV19" s="43">
        <f t="shared" si="22"/>
        <v>-77866.25</v>
      </c>
      <c r="AW19" s="44">
        <f t="shared" si="23"/>
        <v>0</v>
      </c>
      <c r="AX19" s="43">
        <f t="shared" si="24"/>
        <v>923210.21000000008</v>
      </c>
      <c r="AY19" s="43">
        <f t="shared" si="24"/>
        <v>934395</v>
      </c>
      <c r="AZ19" s="43">
        <f t="shared" si="25"/>
        <v>-11184.789999999921</v>
      </c>
      <c r="BA19" s="44">
        <f t="shared" si="26"/>
        <v>0.98802991240321281</v>
      </c>
    </row>
    <row r="20" spans="1:53" x14ac:dyDescent="0.3">
      <c r="A20" s="41" t="s">
        <v>128</v>
      </c>
      <c r="B20" s="43">
        <f>4503.19</f>
        <v>4503.1899999999996</v>
      </c>
      <c r="C20" s="43">
        <f>3750</f>
        <v>3750</v>
      </c>
      <c r="D20" s="43">
        <f t="shared" si="0"/>
        <v>753.1899999999996</v>
      </c>
      <c r="E20" s="44">
        <f t="shared" si="1"/>
        <v>1.2008506666666665</v>
      </c>
      <c r="F20" s="43">
        <f>4623.43</f>
        <v>4623.43</v>
      </c>
      <c r="G20" s="43">
        <f>3750</f>
        <v>3750</v>
      </c>
      <c r="H20" s="43">
        <f t="shared" si="2"/>
        <v>873.43000000000029</v>
      </c>
      <c r="I20" s="44">
        <f t="shared" si="3"/>
        <v>1.2329146666666668</v>
      </c>
      <c r="J20" s="43">
        <f>5252.02</f>
        <v>5252.02</v>
      </c>
      <c r="K20" s="43">
        <f>3750</f>
        <v>3750</v>
      </c>
      <c r="L20" s="43">
        <f t="shared" si="4"/>
        <v>1502.0200000000004</v>
      </c>
      <c r="M20" s="44">
        <f t="shared" si="5"/>
        <v>1.4005386666666668</v>
      </c>
      <c r="N20" s="43">
        <f>4789.87</f>
        <v>4789.87</v>
      </c>
      <c r="O20" s="43">
        <f>3750</f>
        <v>3750</v>
      </c>
      <c r="P20" s="43">
        <f t="shared" si="6"/>
        <v>1039.8699999999999</v>
      </c>
      <c r="Q20" s="44">
        <f t="shared" si="7"/>
        <v>1.2772986666666666</v>
      </c>
      <c r="R20" s="43">
        <f>4710.13</f>
        <v>4710.13</v>
      </c>
      <c r="S20" s="43">
        <f>3750</f>
        <v>3750</v>
      </c>
      <c r="T20" s="43">
        <f t="shared" si="8"/>
        <v>960.13000000000011</v>
      </c>
      <c r="U20" s="44">
        <f t="shared" si="9"/>
        <v>1.2560346666666666</v>
      </c>
      <c r="V20" s="43">
        <f>4827.03</f>
        <v>4827.03</v>
      </c>
      <c r="W20" s="43">
        <f>3750</f>
        <v>3750</v>
      </c>
      <c r="X20" s="43">
        <f t="shared" si="10"/>
        <v>1077.0299999999997</v>
      </c>
      <c r="Y20" s="44">
        <f t="shared" si="11"/>
        <v>1.2872079999999999</v>
      </c>
      <c r="Z20" s="43">
        <f>5223.25</f>
        <v>5223.25</v>
      </c>
      <c r="AA20" s="43">
        <f>3750</f>
        <v>3750</v>
      </c>
      <c r="AB20" s="43">
        <f t="shared" si="12"/>
        <v>1473.25</v>
      </c>
      <c r="AC20" s="44">
        <f t="shared" si="13"/>
        <v>1.3928666666666667</v>
      </c>
      <c r="AD20" s="43">
        <f>4957.48</f>
        <v>4957.4799999999996</v>
      </c>
      <c r="AE20" s="43">
        <f>3750</f>
        <v>3750</v>
      </c>
      <c r="AF20" s="43">
        <f t="shared" si="14"/>
        <v>1207.4799999999996</v>
      </c>
      <c r="AG20" s="44">
        <f t="shared" si="15"/>
        <v>1.3219946666666667</v>
      </c>
      <c r="AH20" s="43">
        <f>5171.4</f>
        <v>5171.3999999999996</v>
      </c>
      <c r="AI20" s="43">
        <f>3750</f>
        <v>3750</v>
      </c>
      <c r="AJ20" s="43">
        <f t="shared" si="16"/>
        <v>1421.3999999999996</v>
      </c>
      <c r="AK20" s="44">
        <f t="shared" si="17"/>
        <v>1.3790399999999998</v>
      </c>
      <c r="AL20" s="42"/>
      <c r="AM20" s="43">
        <f>3750</f>
        <v>3750</v>
      </c>
      <c r="AN20" s="43">
        <f t="shared" si="18"/>
        <v>-3750</v>
      </c>
      <c r="AO20" s="44">
        <f t="shared" si="19"/>
        <v>0</v>
      </c>
      <c r="AP20" s="42"/>
      <c r="AQ20" s="43">
        <f>3750</f>
        <v>3750</v>
      </c>
      <c r="AR20" s="43">
        <f t="shared" si="20"/>
        <v>-3750</v>
      </c>
      <c r="AS20" s="44">
        <f t="shared" si="21"/>
        <v>0</v>
      </c>
      <c r="AT20" s="42"/>
      <c r="AU20" s="43">
        <f>3750</f>
        <v>3750</v>
      </c>
      <c r="AV20" s="43">
        <f t="shared" si="22"/>
        <v>-3750</v>
      </c>
      <c r="AW20" s="44">
        <f t="shared" si="23"/>
        <v>0</v>
      </c>
      <c r="AX20" s="43">
        <f t="shared" si="24"/>
        <v>44057.799999999996</v>
      </c>
      <c r="AY20" s="43">
        <f t="shared" si="24"/>
        <v>45000</v>
      </c>
      <c r="AZ20" s="43">
        <f t="shared" si="25"/>
        <v>-942.20000000000437</v>
      </c>
      <c r="BA20" s="44">
        <f t="shared" si="26"/>
        <v>0.97906222222222217</v>
      </c>
    </row>
    <row r="21" spans="1:53" x14ac:dyDescent="0.3">
      <c r="A21" s="41" t="s">
        <v>129</v>
      </c>
      <c r="B21" s="45">
        <f>((((((B12)+(B15))+(B16))+(B17))+(B18))+(B19))+(B20)</f>
        <v>28619.73</v>
      </c>
      <c r="C21" s="45">
        <f>((((((C12)+(C15))+(C16))+(C17))+(C18))+(C19))+(C20)</f>
        <v>83066.259999999995</v>
      </c>
      <c r="D21" s="45">
        <f t="shared" si="0"/>
        <v>-54446.53</v>
      </c>
      <c r="E21" s="46">
        <f t="shared" si="1"/>
        <v>0.34454097247185561</v>
      </c>
      <c r="F21" s="45">
        <f>((((((F12)+(F15))+(F16))+(F17))+(F18))+(F19))+(F20)</f>
        <v>342538.46</v>
      </c>
      <c r="G21" s="45">
        <f>((((((G12)+(G15))+(G16))+(G17))+(G18))+(G19))+(G20)</f>
        <v>83066.259999999995</v>
      </c>
      <c r="H21" s="45">
        <f t="shared" si="2"/>
        <v>259472.2</v>
      </c>
      <c r="I21" s="46">
        <f t="shared" si="3"/>
        <v>4.1236774112618049</v>
      </c>
      <c r="J21" s="45">
        <f>((((((J12)+(J15))+(J16))+(J17))+(J18))+(J19))+(J20)</f>
        <v>66714.040000000008</v>
      </c>
      <c r="K21" s="45">
        <f>((((((K12)+(K15))+(K16))+(K17))+(K18))+(K19))+(K20)</f>
        <v>83066.259999999995</v>
      </c>
      <c r="L21" s="45">
        <f t="shared" si="4"/>
        <v>-16352.219999999987</v>
      </c>
      <c r="M21" s="46">
        <f t="shared" si="5"/>
        <v>0.80314245519179528</v>
      </c>
      <c r="N21" s="45">
        <f>((((((N12)+(N15))+(N16))+(N17))+(N18))+(N19))+(N20)</f>
        <v>192176.34</v>
      </c>
      <c r="O21" s="45">
        <f>((((((O12)+(O15))+(O16))+(O17))+(O18))+(O19))+(O20)</f>
        <v>83066.259999999995</v>
      </c>
      <c r="P21" s="45">
        <f t="shared" si="6"/>
        <v>109110.08</v>
      </c>
      <c r="Q21" s="46">
        <f t="shared" si="7"/>
        <v>2.3135306681677976</v>
      </c>
      <c r="R21" s="45">
        <f>((((((R12)+(R15))+(R16))+(R17))+(R18))+(R19))+(R20)</f>
        <v>52115.7</v>
      </c>
      <c r="S21" s="45">
        <f>((((((S12)+(S15))+(S16))+(S17))+(S18))+(S19))+(S20)</f>
        <v>83066.259999999995</v>
      </c>
      <c r="T21" s="45">
        <f t="shared" si="8"/>
        <v>-30950.559999999998</v>
      </c>
      <c r="U21" s="46">
        <f t="shared" si="9"/>
        <v>0.62739913895244592</v>
      </c>
      <c r="V21" s="45">
        <f>((((((V12)+(V15))+(V16))+(V17))+(V18))+(V19))+(V20)</f>
        <v>277494.02000000008</v>
      </c>
      <c r="W21" s="45">
        <f>((((((W12)+(W15))+(W16))+(W17))+(W18))+(W19))+(W20)</f>
        <v>83066.259999999995</v>
      </c>
      <c r="X21" s="45">
        <f t="shared" si="10"/>
        <v>194427.76000000007</v>
      </c>
      <c r="Y21" s="46">
        <f t="shared" si="11"/>
        <v>3.3406345729300932</v>
      </c>
      <c r="Z21" s="45">
        <f>((((((Z12)+(Z15))+(Z16))+(Z17))+(Z18))+(Z19))+(Z20)</f>
        <v>19628.79</v>
      </c>
      <c r="AA21" s="45">
        <f>((((((AA12)+(AA15))+(AA16))+(AA17))+(AA18))+(AA19))+(AA20)</f>
        <v>83066.259999999995</v>
      </c>
      <c r="AB21" s="45">
        <f t="shared" si="12"/>
        <v>-63437.469999999994</v>
      </c>
      <c r="AC21" s="46">
        <f t="shared" si="13"/>
        <v>0.23630280212447272</v>
      </c>
      <c r="AD21" s="45">
        <f>((((((AD12)+(AD15))+(AD16))+(AD17))+(AD18))+(AD19))+(AD20)</f>
        <v>15535.85</v>
      </c>
      <c r="AE21" s="45">
        <f>((((((AE12)+(AE15))+(AE16))+(AE17))+(AE18))+(AE19))+(AE20)</f>
        <v>83066.259999999995</v>
      </c>
      <c r="AF21" s="45">
        <f t="shared" si="14"/>
        <v>-67530.409999999989</v>
      </c>
      <c r="AG21" s="46">
        <f t="shared" si="15"/>
        <v>0.18702960744831898</v>
      </c>
      <c r="AH21" s="45">
        <f>((((((AH12)+(AH15))+(AH16))+(AH17))+(AH18))+(AH19))+(AH20)</f>
        <v>13998.300000000001</v>
      </c>
      <c r="AI21" s="45">
        <f>((((((AI12)+(AI15))+(AI16))+(AI17))+(AI18))+(AI19))+(AI20)</f>
        <v>83066.259999999995</v>
      </c>
      <c r="AJ21" s="45">
        <f t="shared" si="16"/>
        <v>-69067.959999999992</v>
      </c>
      <c r="AK21" s="46">
        <f t="shared" si="17"/>
        <v>0.16851968536924622</v>
      </c>
      <c r="AL21" s="45">
        <f>((((((AL12)+(AL15))+(AL16))+(AL17))+(AL18))+(AL19))+(AL20)</f>
        <v>0</v>
      </c>
      <c r="AM21" s="45">
        <f>((((((AM12)+(AM15))+(AM16))+(AM17))+(AM18))+(AM19))+(AM20)</f>
        <v>83066.259999999995</v>
      </c>
      <c r="AN21" s="45">
        <f t="shared" si="18"/>
        <v>-83066.259999999995</v>
      </c>
      <c r="AO21" s="46">
        <f t="shared" si="19"/>
        <v>0</v>
      </c>
      <c r="AP21" s="45">
        <f>((((((AP12)+(AP15))+(AP16))+(AP17))+(AP18))+(AP19))+(AP20)</f>
        <v>0</v>
      </c>
      <c r="AQ21" s="45">
        <f>((((((AQ12)+(AQ15))+(AQ16))+(AQ17))+(AQ18))+(AQ19))+(AQ20)</f>
        <v>83066.259999999995</v>
      </c>
      <c r="AR21" s="45">
        <f t="shared" si="20"/>
        <v>-83066.259999999995</v>
      </c>
      <c r="AS21" s="46">
        <f t="shared" si="21"/>
        <v>0</v>
      </c>
      <c r="AT21" s="45">
        <f>((((((AT12)+(AT15))+(AT16))+(AT17))+(AT18))+(AT19))+(AT20)</f>
        <v>0</v>
      </c>
      <c r="AU21" s="45">
        <f>((((((AU12)+(AU15))+(AU16))+(AU17))+(AU18))+(AU19))+(AU20)</f>
        <v>83066.14</v>
      </c>
      <c r="AV21" s="45">
        <f t="shared" si="22"/>
        <v>-83066.14</v>
      </c>
      <c r="AW21" s="46">
        <f t="shared" si="23"/>
        <v>0</v>
      </c>
      <c r="AX21" s="45">
        <f t="shared" si="24"/>
        <v>1008821.2300000001</v>
      </c>
      <c r="AY21" s="45">
        <f t="shared" si="24"/>
        <v>996795</v>
      </c>
      <c r="AZ21" s="45">
        <f t="shared" si="25"/>
        <v>12026.230000000098</v>
      </c>
      <c r="BA21" s="46">
        <f t="shared" si="26"/>
        <v>1.012064897998084</v>
      </c>
    </row>
    <row r="22" spans="1:53" x14ac:dyDescent="0.3">
      <c r="A22" s="41" t="s">
        <v>130</v>
      </c>
      <c r="B22" s="45">
        <f>(B21)-(0)</f>
        <v>28619.73</v>
      </c>
      <c r="C22" s="45">
        <f>(C21)-(0)</f>
        <v>83066.259999999995</v>
      </c>
      <c r="D22" s="45">
        <f t="shared" si="0"/>
        <v>-54446.53</v>
      </c>
      <c r="E22" s="46">
        <f t="shared" si="1"/>
        <v>0.34454097247185561</v>
      </c>
      <c r="F22" s="45">
        <f>(F21)-(0)</f>
        <v>342538.46</v>
      </c>
      <c r="G22" s="45">
        <f>(G21)-(0)</f>
        <v>83066.259999999995</v>
      </c>
      <c r="H22" s="45">
        <f t="shared" si="2"/>
        <v>259472.2</v>
      </c>
      <c r="I22" s="46">
        <f t="shared" si="3"/>
        <v>4.1236774112618049</v>
      </c>
      <c r="J22" s="45">
        <f>(J21)-(0)</f>
        <v>66714.040000000008</v>
      </c>
      <c r="K22" s="45">
        <f>(K21)-(0)</f>
        <v>83066.259999999995</v>
      </c>
      <c r="L22" s="45">
        <f t="shared" si="4"/>
        <v>-16352.219999999987</v>
      </c>
      <c r="M22" s="46">
        <f t="shared" si="5"/>
        <v>0.80314245519179528</v>
      </c>
      <c r="N22" s="45">
        <f>(N21)-(0)</f>
        <v>192176.34</v>
      </c>
      <c r="O22" s="45">
        <f>(O21)-(0)</f>
        <v>83066.259999999995</v>
      </c>
      <c r="P22" s="45">
        <f t="shared" si="6"/>
        <v>109110.08</v>
      </c>
      <c r="Q22" s="46">
        <f t="shared" si="7"/>
        <v>2.3135306681677976</v>
      </c>
      <c r="R22" s="45">
        <f>(R21)-(0)</f>
        <v>52115.7</v>
      </c>
      <c r="S22" s="45">
        <f>(S21)-(0)</f>
        <v>83066.259999999995</v>
      </c>
      <c r="T22" s="45">
        <f t="shared" si="8"/>
        <v>-30950.559999999998</v>
      </c>
      <c r="U22" s="46">
        <f t="shared" si="9"/>
        <v>0.62739913895244592</v>
      </c>
      <c r="V22" s="45">
        <f>(V21)-(0)</f>
        <v>277494.02000000008</v>
      </c>
      <c r="W22" s="45">
        <f>(W21)-(0)</f>
        <v>83066.259999999995</v>
      </c>
      <c r="X22" s="45">
        <f t="shared" si="10"/>
        <v>194427.76000000007</v>
      </c>
      <c r="Y22" s="46">
        <f t="shared" si="11"/>
        <v>3.3406345729300932</v>
      </c>
      <c r="Z22" s="45">
        <f>(Z21)-(0)</f>
        <v>19628.79</v>
      </c>
      <c r="AA22" s="45">
        <f>(AA21)-(0)</f>
        <v>83066.259999999995</v>
      </c>
      <c r="AB22" s="45">
        <f t="shared" si="12"/>
        <v>-63437.469999999994</v>
      </c>
      <c r="AC22" s="46">
        <f t="shared" si="13"/>
        <v>0.23630280212447272</v>
      </c>
      <c r="AD22" s="45">
        <f>(AD21)-(0)</f>
        <v>15535.85</v>
      </c>
      <c r="AE22" s="45">
        <f>(AE21)-(0)</f>
        <v>83066.259999999995</v>
      </c>
      <c r="AF22" s="45">
        <f t="shared" si="14"/>
        <v>-67530.409999999989</v>
      </c>
      <c r="AG22" s="46">
        <f t="shared" si="15"/>
        <v>0.18702960744831898</v>
      </c>
      <c r="AH22" s="45">
        <f>(AH21)-(0)</f>
        <v>13998.300000000001</v>
      </c>
      <c r="AI22" s="45">
        <f>(AI21)-(0)</f>
        <v>83066.259999999995</v>
      </c>
      <c r="AJ22" s="45">
        <f t="shared" si="16"/>
        <v>-69067.959999999992</v>
      </c>
      <c r="AK22" s="46">
        <f t="shared" si="17"/>
        <v>0.16851968536924622</v>
      </c>
      <c r="AL22" s="45">
        <f>(AL21)-(0)</f>
        <v>0</v>
      </c>
      <c r="AM22" s="45">
        <f>(AM21)-(0)</f>
        <v>83066.259999999995</v>
      </c>
      <c r="AN22" s="45">
        <f t="shared" si="18"/>
        <v>-83066.259999999995</v>
      </c>
      <c r="AO22" s="46">
        <f t="shared" si="19"/>
        <v>0</v>
      </c>
      <c r="AP22" s="45">
        <f>(AP21)-(0)</f>
        <v>0</v>
      </c>
      <c r="AQ22" s="45">
        <f>(AQ21)-(0)</f>
        <v>83066.259999999995</v>
      </c>
      <c r="AR22" s="45">
        <f t="shared" si="20"/>
        <v>-83066.259999999995</v>
      </c>
      <c r="AS22" s="46">
        <f t="shared" si="21"/>
        <v>0</v>
      </c>
      <c r="AT22" s="45">
        <f>(AT21)-(0)</f>
        <v>0</v>
      </c>
      <c r="AU22" s="45">
        <f>(AU21)-(0)</f>
        <v>83066.14</v>
      </c>
      <c r="AV22" s="45">
        <f t="shared" si="22"/>
        <v>-83066.14</v>
      </c>
      <c r="AW22" s="46">
        <f t="shared" si="23"/>
        <v>0</v>
      </c>
      <c r="AX22" s="45">
        <f t="shared" si="24"/>
        <v>1008821.2300000001</v>
      </c>
      <c r="AY22" s="45">
        <f t="shared" si="24"/>
        <v>996795</v>
      </c>
      <c r="AZ22" s="45">
        <f t="shared" si="25"/>
        <v>12026.230000000098</v>
      </c>
      <c r="BA22" s="46">
        <f t="shared" si="26"/>
        <v>1.012064897998084</v>
      </c>
    </row>
    <row r="23" spans="1:53" x14ac:dyDescent="0.3">
      <c r="A23" s="41" t="s">
        <v>131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x14ac:dyDescent="0.3">
      <c r="A24" s="41" t="s">
        <v>132</v>
      </c>
      <c r="B24" s="42"/>
      <c r="C24" s="42"/>
      <c r="D24" s="43">
        <f t="shared" ref="D24:D87" si="27">(B24)-(C24)</f>
        <v>0</v>
      </c>
      <c r="E24" s="44" t="str">
        <f t="shared" ref="E24:E87" si="28">IF(C24=0,"",(B24)/(C24))</f>
        <v/>
      </c>
      <c r="F24" s="42"/>
      <c r="G24" s="42"/>
      <c r="H24" s="43">
        <f t="shared" ref="H24:H87" si="29">(F24)-(G24)</f>
        <v>0</v>
      </c>
      <c r="I24" s="44" t="str">
        <f t="shared" ref="I24:I87" si="30">IF(G24=0,"",(F24)/(G24))</f>
        <v/>
      </c>
      <c r="J24" s="42"/>
      <c r="K24" s="42"/>
      <c r="L24" s="43">
        <f t="shared" ref="L24:L87" si="31">(J24)-(K24)</f>
        <v>0</v>
      </c>
      <c r="M24" s="44" t="str">
        <f t="shared" ref="M24:M87" si="32">IF(K24=0,"",(J24)/(K24))</f>
        <v/>
      </c>
      <c r="N24" s="42"/>
      <c r="O24" s="42"/>
      <c r="P24" s="43">
        <f t="shared" ref="P24:P87" si="33">(N24)-(O24)</f>
        <v>0</v>
      </c>
      <c r="Q24" s="44" t="str">
        <f t="shared" ref="Q24:Q87" si="34">IF(O24=0,"",(N24)/(O24))</f>
        <v/>
      </c>
      <c r="R24" s="42"/>
      <c r="S24" s="42"/>
      <c r="T24" s="43">
        <f t="shared" ref="T24:T87" si="35">(R24)-(S24)</f>
        <v>0</v>
      </c>
      <c r="U24" s="44" t="str">
        <f t="shared" ref="U24:U87" si="36">IF(S24=0,"",(R24)/(S24))</f>
        <v/>
      </c>
      <c r="V24" s="42"/>
      <c r="W24" s="42"/>
      <c r="X24" s="43">
        <f t="shared" ref="X24:X87" si="37">(V24)-(W24)</f>
        <v>0</v>
      </c>
      <c r="Y24" s="44" t="str">
        <f t="shared" ref="Y24:Y87" si="38">IF(W24=0,"",(V24)/(W24))</f>
        <v/>
      </c>
      <c r="Z24" s="42"/>
      <c r="AA24" s="42"/>
      <c r="AB24" s="43">
        <f t="shared" ref="AB24:AB87" si="39">(Z24)-(AA24)</f>
        <v>0</v>
      </c>
      <c r="AC24" s="44" t="str">
        <f t="shared" ref="AC24:AC87" si="40">IF(AA24=0,"",(Z24)/(AA24))</f>
        <v/>
      </c>
      <c r="AD24" s="42"/>
      <c r="AE24" s="42"/>
      <c r="AF24" s="43">
        <f t="shared" ref="AF24:AF87" si="41">(AD24)-(AE24)</f>
        <v>0</v>
      </c>
      <c r="AG24" s="44" t="str">
        <f t="shared" ref="AG24:AG87" si="42">IF(AE24=0,"",(AD24)/(AE24))</f>
        <v/>
      </c>
      <c r="AH24" s="42"/>
      <c r="AI24" s="42"/>
      <c r="AJ24" s="43">
        <f t="shared" ref="AJ24:AJ87" si="43">(AH24)-(AI24)</f>
        <v>0</v>
      </c>
      <c r="AK24" s="44" t="str">
        <f t="shared" ref="AK24:AK87" si="44">IF(AI24=0,"",(AH24)/(AI24))</f>
        <v/>
      </c>
      <c r="AL24" s="42"/>
      <c r="AM24" s="42"/>
      <c r="AN24" s="43">
        <f t="shared" ref="AN24:AN87" si="45">(AL24)-(AM24)</f>
        <v>0</v>
      </c>
      <c r="AO24" s="44" t="str">
        <f t="shared" ref="AO24:AO87" si="46">IF(AM24=0,"",(AL24)/(AM24))</f>
        <v/>
      </c>
      <c r="AP24" s="42"/>
      <c r="AQ24" s="42"/>
      <c r="AR24" s="43">
        <f t="shared" ref="AR24:AR87" si="47">(AP24)-(AQ24)</f>
        <v>0</v>
      </c>
      <c r="AS24" s="44" t="str">
        <f t="shared" ref="AS24:AS87" si="48">IF(AQ24=0,"",(AP24)/(AQ24))</f>
        <v/>
      </c>
      <c r="AT24" s="42"/>
      <c r="AU24" s="42"/>
      <c r="AV24" s="43">
        <f t="shared" ref="AV24:AV87" si="49">(AT24)-(AU24)</f>
        <v>0</v>
      </c>
      <c r="AW24" s="44" t="str">
        <f t="shared" ref="AW24:AW87" si="50">IF(AU24=0,"",(AT24)/(AU24))</f>
        <v/>
      </c>
      <c r="AX24" s="43">
        <f t="shared" ref="AX24:AY55" si="51">(((((((((((B24)+(F24))+(J24))+(N24))+(R24))+(V24))+(Z24))+(AD24))+(AH24))+(AL24))+(AP24))+(AT24)</f>
        <v>0</v>
      </c>
      <c r="AY24" s="43">
        <f t="shared" si="51"/>
        <v>0</v>
      </c>
      <c r="AZ24" s="43">
        <f t="shared" ref="AZ24:AZ87" si="52">(AX24)-(AY24)</f>
        <v>0</v>
      </c>
      <c r="BA24" s="44" t="str">
        <f t="shared" ref="BA24:BA87" si="53">IF(AY24=0,"",(AX24)/(AY24))</f>
        <v/>
      </c>
    </row>
    <row r="25" spans="1:53" x14ac:dyDescent="0.3">
      <c r="A25" s="41" t="s">
        <v>133</v>
      </c>
      <c r="B25" s="43">
        <f>154.5</f>
        <v>154.5</v>
      </c>
      <c r="C25" s="42"/>
      <c r="D25" s="43">
        <f t="shared" si="27"/>
        <v>154.5</v>
      </c>
      <c r="E25" s="44" t="str">
        <f t="shared" si="28"/>
        <v/>
      </c>
      <c r="F25" s="43">
        <f>0</f>
        <v>0</v>
      </c>
      <c r="G25" s="42"/>
      <c r="H25" s="43">
        <f t="shared" si="29"/>
        <v>0</v>
      </c>
      <c r="I25" s="44" t="str">
        <f t="shared" si="30"/>
        <v/>
      </c>
      <c r="J25" s="43">
        <f>0</f>
        <v>0</v>
      </c>
      <c r="K25" s="42"/>
      <c r="L25" s="43">
        <f t="shared" si="31"/>
        <v>0</v>
      </c>
      <c r="M25" s="44" t="str">
        <f t="shared" si="32"/>
        <v/>
      </c>
      <c r="N25" s="43">
        <f>0</f>
        <v>0</v>
      </c>
      <c r="O25" s="42"/>
      <c r="P25" s="43">
        <f t="shared" si="33"/>
        <v>0</v>
      </c>
      <c r="Q25" s="44" t="str">
        <f t="shared" si="34"/>
        <v/>
      </c>
      <c r="R25" s="43">
        <f>0</f>
        <v>0</v>
      </c>
      <c r="S25" s="42"/>
      <c r="T25" s="43">
        <f t="shared" si="35"/>
        <v>0</v>
      </c>
      <c r="U25" s="44" t="str">
        <f t="shared" si="36"/>
        <v/>
      </c>
      <c r="V25" s="43">
        <f>0</f>
        <v>0</v>
      </c>
      <c r="W25" s="42"/>
      <c r="X25" s="43">
        <f t="shared" si="37"/>
        <v>0</v>
      </c>
      <c r="Y25" s="44" t="str">
        <f t="shared" si="38"/>
        <v/>
      </c>
      <c r="Z25" s="43">
        <f>-154.5</f>
        <v>-154.5</v>
      </c>
      <c r="AA25" s="42"/>
      <c r="AB25" s="43">
        <f t="shared" si="39"/>
        <v>-154.5</v>
      </c>
      <c r="AC25" s="44" t="str">
        <f t="shared" si="40"/>
        <v/>
      </c>
      <c r="AD25" s="43">
        <f>154.5</f>
        <v>154.5</v>
      </c>
      <c r="AE25" s="42"/>
      <c r="AF25" s="43">
        <f t="shared" si="41"/>
        <v>154.5</v>
      </c>
      <c r="AG25" s="44" t="str">
        <f t="shared" si="42"/>
        <v/>
      </c>
      <c r="AH25" s="43">
        <f>0</f>
        <v>0</v>
      </c>
      <c r="AI25" s="42"/>
      <c r="AJ25" s="43">
        <f t="shared" si="43"/>
        <v>0</v>
      </c>
      <c r="AK25" s="44" t="str">
        <f t="shared" si="44"/>
        <v/>
      </c>
      <c r="AL25" s="43"/>
      <c r="AM25" s="42"/>
      <c r="AN25" s="43">
        <f t="shared" si="45"/>
        <v>0</v>
      </c>
      <c r="AO25" s="44" t="str">
        <f t="shared" si="46"/>
        <v/>
      </c>
      <c r="AP25" s="42"/>
      <c r="AQ25" s="42"/>
      <c r="AR25" s="43">
        <f t="shared" si="47"/>
        <v>0</v>
      </c>
      <c r="AS25" s="44" t="str">
        <f t="shared" si="48"/>
        <v/>
      </c>
      <c r="AT25" s="42"/>
      <c r="AU25" s="42"/>
      <c r="AV25" s="43">
        <f t="shared" si="49"/>
        <v>0</v>
      </c>
      <c r="AW25" s="44" t="str">
        <f t="shared" si="50"/>
        <v/>
      </c>
      <c r="AX25" s="43">
        <f t="shared" si="51"/>
        <v>154.5</v>
      </c>
      <c r="AY25" s="43">
        <f t="shared" si="51"/>
        <v>0</v>
      </c>
      <c r="AZ25" s="43">
        <f t="shared" si="52"/>
        <v>154.5</v>
      </c>
      <c r="BA25" s="44" t="str">
        <f t="shared" si="53"/>
        <v/>
      </c>
    </row>
    <row r="26" spans="1:53" x14ac:dyDescent="0.3">
      <c r="A26" s="41" t="s">
        <v>134</v>
      </c>
      <c r="B26" s="43">
        <f>3584.35</f>
        <v>3584.35</v>
      </c>
      <c r="C26" s="43">
        <f>3541.67</f>
        <v>3541.67</v>
      </c>
      <c r="D26" s="43">
        <f t="shared" si="27"/>
        <v>42.679999999999836</v>
      </c>
      <c r="E26" s="44">
        <f t="shared" si="28"/>
        <v>1.0120508121874707</v>
      </c>
      <c r="F26" s="43">
        <f>3420.92</f>
        <v>3420.92</v>
      </c>
      <c r="G26" s="43">
        <f>3541.67</f>
        <v>3541.67</v>
      </c>
      <c r="H26" s="43">
        <f t="shared" si="29"/>
        <v>-120.75</v>
      </c>
      <c r="I26" s="44">
        <f t="shared" si="30"/>
        <v>0.96590591444149232</v>
      </c>
      <c r="J26" s="43">
        <f>3420.92</f>
        <v>3420.92</v>
      </c>
      <c r="K26" s="43">
        <f>3541.67</f>
        <v>3541.67</v>
      </c>
      <c r="L26" s="43">
        <f t="shared" si="31"/>
        <v>-120.75</v>
      </c>
      <c r="M26" s="44">
        <f t="shared" si="32"/>
        <v>0.96590591444149232</v>
      </c>
      <c r="N26" s="43">
        <f>3420.92</f>
        <v>3420.92</v>
      </c>
      <c r="O26" s="43">
        <f>3541.67</f>
        <v>3541.67</v>
      </c>
      <c r="P26" s="43">
        <f t="shared" si="33"/>
        <v>-120.75</v>
      </c>
      <c r="Q26" s="44">
        <f t="shared" si="34"/>
        <v>0.96590591444149232</v>
      </c>
      <c r="R26" s="43">
        <f>3420.92</f>
        <v>3420.92</v>
      </c>
      <c r="S26" s="43">
        <f>3541.67</f>
        <v>3541.67</v>
      </c>
      <c r="T26" s="43">
        <f t="shared" si="35"/>
        <v>-120.75</v>
      </c>
      <c r="U26" s="44">
        <f t="shared" si="36"/>
        <v>0.96590591444149232</v>
      </c>
      <c r="V26" s="43">
        <f>3420.92</f>
        <v>3420.92</v>
      </c>
      <c r="W26" s="43">
        <f>3541.67</f>
        <v>3541.67</v>
      </c>
      <c r="X26" s="43">
        <f t="shared" si="37"/>
        <v>-120.75</v>
      </c>
      <c r="Y26" s="44">
        <f t="shared" si="38"/>
        <v>0.96590591444149232</v>
      </c>
      <c r="Z26" s="43">
        <f>3431.45</f>
        <v>3431.45</v>
      </c>
      <c r="AA26" s="43">
        <f>3541.67</f>
        <v>3541.67</v>
      </c>
      <c r="AB26" s="43">
        <f t="shared" si="39"/>
        <v>-110.22000000000025</v>
      </c>
      <c r="AC26" s="44">
        <f t="shared" si="40"/>
        <v>0.9688790881137993</v>
      </c>
      <c r="AD26" s="43">
        <f>3420.92</f>
        <v>3420.92</v>
      </c>
      <c r="AE26" s="43">
        <f>3541.67</f>
        <v>3541.67</v>
      </c>
      <c r="AF26" s="43">
        <f t="shared" si="41"/>
        <v>-120.75</v>
      </c>
      <c r="AG26" s="44">
        <f t="shared" si="42"/>
        <v>0.96590591444149232</v>
      </c>
      <c r="AH26" s="43">
        <f>3420.92</f>
        <v>3420.92</v>
      </c>
      <c r="AI26" s="43">
        <f>3541.67</f>
        <v>3541.67</v>
      </c>
      <c r="AJ26" s="43">
        <f t="shared" si="43"/>
        <v>-120.75</v>
      </c>
      <c r="AK26" s="44">
        <f t="shared" si="44"/>
        <v>0.96590591444149232</v>
      </c>
      <c r="AL26" s="43"/>
      <c r="AM26" s="43">
        <f>3541.67</f>
        <v>3541.67</v>
      </c>
      <c r="AN26" s="43">
        <f t="shared" si="45"/>
        <v>-3541.67</v>
      </c>
      <c r="AO26" s="44">
        <f t="shared" si="46"/>
        <v>0</v>
      </c>
      <c r="AP26" s="42"/>
      <c r="AQ26" s="43">
        <f>3541.67</f>
        <v>3541.67</v>
      </c>
      <c r="AR26" s="43">
        <f t="shared" si="47"/>
        <v>-3541.67</v>
      </c>
      <c r="AS26" s="44">
        <f t="shared" si="48"/>
        <v>0</v>
      </c>
      <c r="AT26" s="42"/>
      <c r="AU26" s="43">
        <f>3541.63</f>
        <v>3541.63</v>
      </c>
      <c r="AV26" s="43">
        <f t="shared" si="49"/>
        <v>-3541.63</v>
      </c>
      <c r="AW26" s="44">
        <f t="shared" si="50"/>
        <v>0</v>
      </c>
      <c r="AX26" s="43">
        <f t="shared" si="51"/>
        <v>30962.239999999998</v>
      </c>
      <c r="AY26" s="43">
        <f t="shared" si="51"/>
        <v>42499.999999999985</v>
      </c>
      <c r="AZ26" s="43">
        <f t="shared" si="52"/>
        <v>-11537.759999999987</v>
      </c>
      <c r="BA26" s="44">
        <f t="shared" si="53"/>
        <v>0.72852329411764727</v>
      </c>
    </row>
    <row r="27" spans="1:53" x14ac:dyDescent="0.3">
      <c r="A27" s="41" t="s">
        <v>135</v>
      </c>
      <c r="B27" s="42"/>
      <c r="C27" s="43">
        <f>1000</f>
        <v>1000</v>
      </c>
      <c r="D27" s="43">
        <f t="shared" si="27"/>
        <v>-1000</v>
      </c>
      <c r="E27" s="44">
        <f t="shared" si="28"/>
        <v>0</v>
      </c>
      <c r="F27" s="42"/>
      <c r="G27" s="43">
        <f>1000</f>
        <v>1000</v>
      </c>
      <c r="H27" s="43">
        <f t="shared" si="29"/>
        <v>-1000</v>
      </c>
      <c r="I27" s="44">
        <f t="shared" si="30"/>
        <v>0</v>
      </c>
      <c r="J27" s="42"/>
      <c r="K27" s="43">
        <f>1000</f>
        <v>1000</v>
      </c>
      <c r="L27" s="43">
        <f t="shared" si="31"/>
        <v>-1000</v>
      </c>
      <c r="M27" s="44">
        <f t="shared" si="32"/>
        <v>0</v>
      </c>
      <c r="N27" s="42"/>
      <c r="O27" s="43">
        <f>1000</f>
        <v>1000</v>
      </c>
      <c r="P27" s="43">
        <f t="shared" si="33"/>
        <v>-1000</v>
      </c>
      <c r="Q27" s="44">
        <f t="shared" si="34"/>
        <v>0</v>
      </c>
      <c r="R27" s="42"/>
      <c r="S27" s="43">
        <f>1000</f>
        <v>1000</v>
      </c>
      <c r="T27" s="43">
        <f t="shared" si="35"/>
        <v>-1000</v>
      </c>
      <c r="U27" s="44">
        <f t="shared" si="36"/>
        <v>0</v>
      </c>
      <c r="V27" s="42"/>
      <c r="W27" s="43">
        <f>1000</f>
        <v>1000</v>
      </c>
      <c r="X27" s="43">
        <f t="shared" si="37"/>
        <v>-1000</v>
      </c>
      <c r="Y27" s="44">
        <f t="shared" si="38"/>
        <v>0</v>
      </c>
      <c r="Z27" s="42"/>
      <c r="AA27" s="43">
        <f>1000</f>
        <v>1000</v>
      </c>
      <c r="AB27" s="43">
        <f t="shared" si="39"/>
        <v>-1000</v>
      </c>
      <c r="AC27" s="44">
        <f t="shared" si="40"/>
        <v>0</v>
      </c>
      <c r="AD27" s="42"/>
      <c r="AE27" s="43">
        <f>1000</f>
        <v>1000</v>
      </c>
      <c r="AF27" s="43">
        <f t="shared" si="41"/>
        <v>-1000</v>
      </c>
      <c r="AG27" s="44">
        <f t="shared" si="42"/>
        <v>0</v>
      </c>
      <c r="AH27" s="42"/>
      <c r="AI27" s="43">
        <f>1000</f>
        <v>1000</v>
      </c>
      <c r="AJ27" s="43">
        <f t="shared" si="43"/>
        <v>-1000</v>
      </c>
      <c r="AK27" s="44">
        <f t="shared" si="44"/>
        <v>0</v>
      </c>
      <c r="AL27" s="42"/>
      <c r="AM27" s="43">
        <f>1000</f>
        <v>1000</v>
      </c>
      <c r="AN27" s="43">
        <f t="shared" si="45"/>
        <v>-1000</v>
      </c>
      <c r="AO27" s="44">
        <f t="shared" si="46"/>
        <v>0</v>
      </c>
      <c r="AP27" s="42"/>
      <c r="AQ27" s="43">
        <f>1000</f>
        <v>1000</v>
      </c>
      <c r="AR27" s="43">
        <f t="shared" si="47"/>
        <v>-1000</v>
      </c>
      <c r="AS27" s="44">
        <f t="shared" si="48"/>
        <v>0</v>
      </c>
      <c r="AT27" s="42"/>
      <c r="AU27" s="43">
        <f>1000</f>
        <v>1000</v>
      </c>
      <c r="AV27" s="43">
        <f t="shared" si="49"/>
        <v>-1000</v>
      </c>
      <c r="AW27" s="44">
        <f t="shared" si="50"/>
        <v>0</v>
      </c>
      <c r="AX27" s="43">
        <f t="shared" si="51"/>
        <v>0</v>
      </c>
      <c r="AY27" s="43">
        <f t="shared" si="51"/>
        <v>12000</v>
      </c>
      <c r="AZ27" s="43">
        <f t="shared" si="52"/>
        <v>-12000</v>
      </c>
      <c r="BA27" s="44">
        <f t="shared" si="53"/>
        <v>0</v>
      </c>
    </row>
    <row r="28" spans="1:53" x14ac:dyDescent="0.3">
      <c r="A28" s="41" t="s">
        <v>136</v>
      </c>
      <c r="B28" s="42"/>
      <c r="C28" s="43">
        <f>166.67</f>
        <v>166.67</v>
      </c>
      <c r="D28" s="43">
        <f t="shared" si="27"/>
        <v>-166.67</v>
      </c>
      <c r="E28" s="44">
        <f t="shared" si="28"/>
        <v>0</v>
      </c>
      <c r="F28" s="42"/>
      <c r="G28" s="43">
        <f>166.67</f>
        <v>166.67</v>
      </c>
      <c r="H28" s="43">
        <f t="shared" si="29"/>
        <v>-166.67</v>
      </c>
      <c r="I28" s="44">
        <f t="shared" si="30"/>
        <v>0</v>
      </c>
      <c r="J28" s="42"/>
      <c r="K28" s="43">
        <f>166.67</f>
        <v>166.67</v>
      </c>
      <c r="L28" s="43">
        <f t="shared" si="31"/>
        <v>-166.67</v>
      </c>
      <c r="M28" s="44">
        <f t="shared" si="32"/>
        <v>0</v>
      </c>
      <c r="N28" s="42"/>
      <c r="O28" s="43">
        <f>166.67</f>
        <v>166.67</v>
      </c>
      <c r="P28" s="43">
        <f t="shared" si="33"/>
        <v>-166.67</v>
      </c>
      <c r="Q28" s="44">
        <f t="shared" si="34"/>
        <v>0</v>
      </c>
      <c r="R28" s="42"/>
      <c r="S28" s="43">
        <f>166.67</f>
        <v>166.67</v>
      </c>
      <c r="T28" s="43">
        <f t="shared" si="35"/>
        <v>-166.67</v>
      </c>
      <c r="U28" s="44">
        <f t="shared" si="36"/>
        <v>0</v>
      </c>
      <c r="V28" s="42"/>
      <c r="W28" s="43">
        <f>166.67</f>
        <v>166.67</v>
      </c>
      <c r="X28" s="43">
        <f t="shared" si="37"/>
        <v>-166.67</v>
      </c>
      <c r="Y28" s="44">
        <f t="shared" si="38"/>
        <v>0</v>
      </c>
      <c r="Z28" s="42"/>
      <c r="AA28" s="43">
        <f>166.67</f>
        <v>166.67</v>
      </c>
      <c r="AB28" s="43">
        <f t="shared" si="39"/>
        <v>-166.67</v>
      </c>
      <c r="AC28" s="44">
        <f t="shared" si="40"/>
        <v>0</v>
      </c>
      <c r="AD28" s="43">
        <f>25</f>
        <v>25</v>
      </c>
      <c r="AE28" s="43">
        <f>166.67</f>
        <v>166.67</v>
      </c>
      <c r="AF28" s="43">
        <f t="shared" si="41"/>
        <v>-141.66999999999999</v>
      </c>
      <c r="AG28" s="44">
        <f t="shared" si="42"/>
        <v>0.1499970000599988</v>
      </c>
      <c r="AH28" s="42"/>
      <c r="AI28" s="43">
        <f>166.67</f>
        <v>166.67</v>
      </c>
      <c r="AJ28" s="43">
        <f t="shared" si="43"/>
        <v>-166.67</v>
      </c>
      <c r="AK28" s="44">
        <f t="shared" si="44"/>
        <v>0</v>
      </c>
      <c r="AL28" s="42"/>
      <c r="AM28" s="43">
        <f>166.67</f>
        <v>166.67</v>
      </c>
      <c r="AN28" s="43">
        <f t="shared" si="45"/>
        <v>-166.67</v>
      </c>
      <c r="AO28" s="44">
        <f t="shared" si="46"/>
        <v>0</v>
      </c>
      <c r="AP28" s="42"/>
      <c r="AQ28" s="43">
        <f>166.67</f>
        <v>166.67</v>
      </c>
      <c r="AR28" s="43">
        <f t="shared" si="47"/>
        <v>-166.67</v>
      </c>
      <c r="AS28" s="44">
        <f t="shared" si="48"/>
        <v>0</v>
      </c>
      <c r="AT28" s="42"/>
      <c r="AU28" s="43">
        <f>166.63</f>
        <v>166.63</v>
      </c>
      <c r="AV28" s="43">
        <f t="shared" si="49"/>
        <v>-166.63</v>
      </c>
      <c r="AW28" s="44">
        <f t="shared" si="50"/>
        <v>0</v>
      </c>
      <c r="AX28" s="43">
        <f t="shared" si="51"/>
        <v>25</v>
      </c>
      <c r="AY28" s="43">
        <f t="shared" si="51"/>
        <v>2000</v>
      </c>
      <c r="AZ28" s="43">
        <f t="shared" si="52"/>
        <v>-1975</v>
      </c>
      <c r="BA28" s="44">
        <f t="shared" si="53"/>
        <v>1.2500000000000001E-2</v>
      </c>
    </row>
    <row r="29" spans="1:53" x14ac:dyDescent="0.3">
      <c r="A29" s="41" t="s">
        <v>137</v>
      </c>
      <c r="B29" s="45">
        <f>((((B24)+(B25))+(B26))+(B27))+(B28)</f>
        <v>3738.85</v>
      </c>
      <c r="C29" s="45">
        <f>((((C24)+(C25))+(C26))+(C27))+(C28)</f>
        <v>4708.34</v>
      </c>
      <c r="D29" s="45">
        <f t="shared" si="27"/>
        <v>-969.49000000000024</v>
      </c>
      <c r="E29" s="46">
        <f t="shared" si="28"/>
        <v>0.79409091102171891</v>
      </c>
      <c r="F29" s="45">
        <f>((((F24)+(F25))+(F26))+(F27))+(F28)</f>
        <v>3420.92</v>
      </c>
      <c r="G29" s="45">
        <f>((((G24)+(G25))+(G26))+(G27))+(G28)</f>
        <v>4708.34</v>
      </c>
      <c r="H29" s="45">
        <f t="shared" si="29"/>
        <v>-1287.42</v>
      </c>
      <c r="I29" s="46">
        <f t="shared" si="30"/>
        <v>0.72656605087992798</v>
      </c>
      <c r="J29" s="45">
        <f>((((J24)+(J25))+(J26))+(J27))+(J28)</f>
        <v>3420.92</v>
      </c>
      <c r="K29" s="45">
        <f>((((K24)+(K25))+(K26))+(K27))+(K28)</f>
        <v>4708.34</v>
      </c>
      <c r="L29" s="45">
        <f t="shared" si="31"/>
        <v>-1287.42</v>
      </c>
      <c r="M29" s="46">
        <f t="shared" si="32"/>
        <v>0.72656605087992798</v>
      </c>
      <c r="N29" s="45">
        <f>((((N24)+(N25))+(N26))+(N27))+(N28)</f>
        <v>3420.92</v>
      </c>
      <c r="O29" s="45">
        <f>((((O24)+(O25))+(O26))+(O27))+(O28)</f>
        <v>4708.34</v>
      </c>
      <c r="P29" s="45">
        <f t="shared" si="33"/>
        <v>-1287.42</v>
      </c>
      <c r="Q29" s="46">
        <f t="shared" si="34"/>
        <v>0.72656605087992798</v>
      </c>
      <c r="R29" s="45">
        <f>((((R24)+(R25))+(R26))+(R27))+(R28)</f>
        <v>3420.92</v>
      </c>
      <c r="S29" s="45">
        <f>((((S24)+(S25))+(S26))+(S27))+(S28)</f>
        <v>4708.34</v>
      </c>
      <c r="T29" s="45">
        <f t="shared" si="35"/>
        <v>-1287.42</v>
      </c>
      <c r="U29" s="46">
        <f t="shared" si="36"/>
        <v>0.72656605087992798</v>
      </c>
      <c r="V29" s="45">
        <f>((((V24)+(V25))+(V26))+(V27))+(V28)</f>
        <v>3420.92</v>
      </c>
      <c r="W29" s="45">
        <f>((((W24)+(W25))+(W26))+(W27))+(W28)</f>
        <v>4708.34</v>
      </c>
      <c r="X29" s="45">
        <f t="shared" si="37"/>
        <v>-1287.42</v>
      </c>
      <c r="Y29" s="46">
        <f t="shared" si="38"/>
        <v>0.72656605087992798</v>
      </c>
      <c r="Z29" s="45">
        <f>((((Z24)+(Z25))+(Z26))+(Z27))+(Z28)</f>
        <v>3276.95</v>
      </c>
      <c r="AA29" s="45">
        <f>((((AA24)+(AA25))+(AA26))+(AA27))+(AA28)</f>
        <v>4708.34</v>
      </c>
      <c r="AB29" s="45">
        <f t="shared" si="39"/>
        <v>-1431.3900000000003</v>
      </c>
      <c r="AC29" s="46">
        <f t="shared" si="40"/>
        <v>0.69598839506067955</v>
      </c>
      <c r="AD29" s="45">
        <f>((((AD24)+(AD25))+(AD26))+(AD27))+(AD28)</f>
        <v>3600.42</v>
      </c>
      <c r="AE29" s="45">
        <f>((((AE24)+(AE25))+(AE26))+(AE27))+(AE28)</f>
        <v>4708.34</v>
      </c>
      <c r="AF29" s="45">
        <f t="shared" si="41"/>
        <v>-1107.92</v>
      </c>
      <c r="AG29" s="46">
        <f t="shared" si="42"/>
        <v>0.76468989070457949</v>
      </c>
      <c r="AH29" s="45">
        <f>((((AH24)+(AH25))+(AH26))+(AH27))+(AH28)</f>
        <v>3420.92</v>
      </c>
      <c r="AI29" s="45">
        <f>((((AI24)+(AI25))+(AI26))+(AI27))+(AI28)</f>
        <v>4708.34</v>
      </c>
      <c r="AJ29" s="45">
        <f t="shared" si="43"/>
        <v>-1287.42</v>
      </c>
      <c r="AK29" s="46">
        <f t="shared" si="44"/>
        <v>0.72656605087992798</v>
      </c>
      <c r="AL29" s="45">
        <f>((((AL24)+(AL25))+(AL26))+(AL27))+(AL28)</f>
        <v>0</v>
      </c>
      <c r="AM29" s="45">
        <f>((((AM24)+(AM25))+(AM26))+(AM27))+(AM28)</f>
        <v>4708.34</v>
      </c>
      <c r="AN29" s="45">
        <f t="shared" si="45"/>
        <v>-4708.34</v>
      </c>
      <c r="AO29" s="46">
        <f t="shared" si="46"/>
        <v>0</v>
      </c>
      <c r="AP29" s="45">
        <f>((((AP24)+(AP25))+(AP26))+(AP27))+(AP28)</f>
        <v>0</v>
      </c>
      <c r="AQ29" s="45">
        <f>((((AQ24)+(AQ25))+(AQ26))+(AQ27))+(AQ28)</f>
        <v>4708.34</v>
      </c>
      <c r="AR29" s="45">
        <f t="shared" si="47"/>
        <v>-4708.34</v>
      </c>
      <c r="AS29" s="46">
        <f t="shared" si="48"/>
        <v>0</v>
      </c>
      <c r="AT29" s="45">
        <f>((((AT24)+(AT25))+(AT26))+(AT27))+(AT28)</f>
        <v>0</v>
      </c>
      <c r="AU29" s="45">
        <f>((((AU24)+(AU25))+(AU26))+(AU27))+(AU28)</f>
        <v>4708.26</v>
      </c>
      <c r="AV29" s="45">
        <f t="shared" si="49"/>
        <v>-4708.26</v>
      </c>
      <c r="AW29" s="46">
        <f t="shared" si="50"/>
        <v>0</v>
      </c>
      <c r="AX29" s="45">
        <f t="shared" si="51"/>
        <v>31141.739999999998</v>
      </c>
      <c r="AY29" s="45">
        <f t="shared" si="51"/>
        <v>56499.999999999993</v>
      </c>
      <c r="AZ29" s="45">
        <f t="shared" si="52"/>
        <v>-25358.259999999995</v>
      </c>
      <c r="BA29" s="46">
        <f t="shared" si="53"/>
        <v>0.55118123893805315</v>
      </c>
    </row>
    <row r="30" spans="1:53" x14ac:dyDescent="0.3">
      <c r="A30" s="41" t="s">
        <v>138</v>
      </c>
      <c r="B30" s="43">
        <f>1992.62</f>
        <v>1992.62</v>
      </c>
      <c r="C30" s="42"/>
      <c r="D30" s="43">
        <f t="shared" si="27"/>
        <v>1992.62</v>
      </c>
      <c r="E30" s="44" t="str">
        <f t="shared" si="28"/>
        <v/>
      </c>
      <c r="F30" s="42"/>
      <c r="G30" s="42"/>
      <c r="H30" s="43">
        <f t="shared" si="29"/>
        <v>0</v>
      </c>
      <c r="I30" s="44" t="str">
        <f t="shared" si="30"/>
        <v/>
      </c>
      <c r="J30" s="42"/>
      <c r="K30" s="42"/>
      <c r="L30" s="43">
        <f t="shared" si="31"/>
        <v>0</v>
      </c>
      <c r="M30" s="44" t="str">
        <f t="shared" si="32"/>
        <v/>
      </c>
      <c r="N30" s="42"/>
      <c r="O30" s="42"/>
      <c r="P30" s="43">
        <f t="shared" si="33"/>
        <v>0</v>
      </c>
      <c r="Q30" s="44" t="str">
        <f t="shared" si="34"/>
        <v/>
      </c>
      <c r="R30" s="42"/>
      <c r="S30" s="42"/>
      <c r="T30" s="43">
        <f t="shared" si="35"/>
        <v>0</v>
      </c>
      <c r="U30" s="44" t="str">
        <f t="shared" si="36"/>
        <v/>
      </c>
      <c r="V30" s="43">
        <f>1382.5</f>
        <v>1382.5</v>
      </c>
      <c r="W30" s="42"/>
      <c r="X30" s="43">
        <f t="shared" si="37"/>
        <v>1382.5</v>
      </c>
      <c r="Y30" s="44" t="str">
        <f t="shared" si="38"/>
        <v/>
      </c>
      <c r="Z30" s="43">
        <f>2820.68</f>
        <v>2820.68</v>
      </c>
      <c r="AA30" s="42"/>
      <c r="AB30" s="43">
        <f t="shared" si="39"/>
        <v>2820.68</v>
      </c>
      <c r="AC30" s="44" t="str">
        <f t="shared" si="40"/>
        <v/>
      </c>
      <c r="AD30" s="42"/>
      <c r="AE30" s="42"/>
      <c r="AF30" s="43">
        <f t="shared" si="41"/>
        <v>0</v>
      </c>
      <c r="AG30" s="44" t="str">
        <f t="shared" si="42"/>
        <v/>
      </c>
      <c r="AH30" s="43">
        <f>1460.9</f>
        <v>1460.9</v>
      </c>
      <c r="AI30" s="42"/>
      <c r="AJ30" s="43">
        <f t="shared" si="43"/>
        <v>1460.9</v>
      </c>
      <c r="AK30" s="44" t="str">
        <f t="shared" si="44"/>
        <v/>
      </c>
      <c r="AL30" s="42"/>
      <c r="AM30" s="42"/>
      <c r="AN30" s="43">
        <f t="shared" si="45"/>
        <v>0</v>
      </c>
      <c r="AO30" s="44" t="str">
        <f t="shared" si="46"/>
        <v/>
      </c>
      <c r="AP30" s="42"/>
      <c r="AQ30" s="42"/>
      <c r="AR30" s="43">
        <f t="shared" si="47"/>
        <v>0</v>
      </c>
      <c r="AS30" s="44" t="str">
        <f t="shared" si="48"/>
        <v/>
      </c>
      <c r="AT30" s="42"/>
      <c r="AU30" s="42"/>
      <c r="AV30" s="43">
        <f t="shared" si="49"/>
        <v>0</v>
      </c>
      <c r="AW30" s="44" t="str">
        <f t="shared" si="50"/>
        <v/>
      </c>
      <c r="AX30" s="43">
        <f t="shared" si="51"/>
        <v>7656.6999999999989</v>
      </c>
      <c r="AY30" s="43">
        <f t="shared" si="51"/>
        <v>0</v>
      </c>
      <c r="AZ30" s="43">
        <f t="shared" si="52"/>
        <v>7656.6999999999989</v>
      </c>
      <c r="BA30" s="44" t="str">
        <f t="shared" si="53"/>
        <v/>
      </c>
    </row>
    <row r="31" spans="1:53" x14ac:dyDescent="0.3">
      <c r="A31" s="41" t="s">
        <v>139</v>
      </c>
      <c r="B31" s="43">
        <f>2462.88</f>
        <v>2462.88</v>
      </c>
      <c r="C31" s="43">
        <f>3875</f>
        <v>3875</v>
      </c>
      <c r="D31" s="43">
        <f t="shared" si="27"/>
        <v>-1412.12</v>
      </c>
      <c r="E31" s="44">
        <f t="shared" si="28"/>
        <v>0.63558193548387099</v>
      </c>
      <c r="F31" s="43">
        <f>2462.09</f>
        <v>2462.09</v>
      </c>
      <c r="G31" s="43">
        <f>3875</f>
        <v>3875</v>
      </c>
      <c r="H31" s="43">
        <f t="shared" si="29"/>
        <v>-1412.9099999999999</v>
      </c>
      <c r="I31" s="44">
        <f t="shared" si="30"/>
        <v>0.6353780645161291</v>
      </c>
      <c r="J31" s="43">
        <f>2439.72</f>
        <v>2439.7199999999998</v>
      </c>
      <c r="K31" s="43">
        <f>3875</f>
        <v>3875</v>
      </c>
      <c r="L31" s="43">
        <f t="shared" si="31"/>
        <v>-1435.2800000000002</v>
      </c>
      <c r="M31" s="44">
        <f t="shared" si="32"/>
        <v>0.62960516129032251</v>
      </c>
      <c r="N31" s="43">
        <f>2420.1</f>
        <v>2420.1</v>
      </c>
      <c r="O31" s="43">
        <f>3875</f>
        <v>3875</v>
      </c>
      <c r="P31" s="43">
        <f t="shared" si="33"/>
        <v>-1454.9</v>
      </c>
      <c r="Q31" s="44">
        <f t="shared" si="34"/>
        <v>0.62454193548387094</v>
      </c>
      <c r="R31" s="43">
        <f>2467.26</f>
        <v>2467.2600000000002</v>
      </c>
      <c r="S31" s="43">
        <f>3875</f>
        <v>3875</v>
      </c>
      <c r="T31" s="43">
        <f t="shared" si="35"/>
        <v>-1407.7399999999998</v>
      </c>
      <c r="U31" s="44">
        <f t="shared" si="36"/>
        <v>0.63671225806451615</v>
      </c>
      <c r="V31" s="43">
        <f>2422.94</f>
        <v>2422.94</v>
      </c>
      <c r="W31" s="43">
        <f>3875</f>
        <v>3875</v>
      </c>
      <c r="X31" s="43">
        <f t="shared" si="37"/>
        <v>-1452.06</v>
      </c>
      <c r="Y31" s="44">
        <f t="shared" si="38"/>
        <v>0.62527483870967748</v>
      </c>
      <c r="Z31" s="43">
        <f>3438.83</f>
        <v>3438.83</v>
      </c>
      <c r="AA31" s="43">
        <f>3875</f>
        <v>3875</v>
      </c>
      <c r="AB31" s="43">
        <f t="shared" si="39"/>
        <v>-436.17000000000007</v>
      </c>
      <c r="AC31" s="44">
        <f t="shared" si="40"/>
        <v>0.88744000000000001</v>
      </c>
      <c r="AD31" s="43">
        <f>2391.66</f>
        <v>2391.66</v>
      </c>
      <c r="AE31" s="43">
        <f>3875</f>
        <v>3875</v>
      </c>
      <c r="AF31" s="43">
        <f t="shared" si="41"/>
        <v>-1483.3400000000001</v>
      </c>
      <c r="AG31" s="44">
        <f t="shared" si="42"/>
        <v>0.6172025806451612</v>
      </c>
      <c r="AH31" s="43">
        <f>2439.08</f>
        <v>2439.08</v>
      </c>
      <c r="AI31" s="43">
        <f>3875</f>
        <v>3875</v>
      </c>
      <c r="AJ31" s="43">
        <f t="shared" si="43"/>
        <v>-1435.92</v>
      </c>
      <c r="AK31" s="44">
        <f t="shared" si="44"/>
        <v>0.62944</v>
      </c>
      <c r="AL31" s="43">
        <f>1166.73</f>
        <v>1166.73</v>
      </c>
      <c r="AM31" s="43">
        <f>3875</f>
        <v>3875</v>
      </c>
      <c r="AN31" s="43">
        <f t="shared" si="45"/>
        <v>-2708.27</v>
      </c>
      <c r="AO31" s="44">
        <f t="shared" si="46"/>
        <v>0.30109161290322584</v>
      </c>
      <c r="AP31" s="42"/>
      <c r="AQ31" s="43">
        <f>3875</f>
        <v>3875</v>
      </c>
      <c r="AR31" s="43">
        <f t="shared" si="47"/>
        <v>-3875</v>
      </c>
      <c r="AS31" s="44">
        <f t="shared" si="48"/>
        <v>0</v>
      </c>
      <c r="AT31" s="42"/>
      <c r="AU31" s="43">
        <f>3875</f>
        <v>3875</v>
      </c>
      <c r="AV31" s="43">
        <f t="shared" si="49"/>
        <v>-3875</v>
      </c>
      <c r="AW31" s="44">
        <f t="shared" si="50"/>
        <v>0</v>
      </c>
      <c r="AX31" s="43">
        <f t="shared" si="51"/>
        <v>24111.289999999997</v>
      </c>
      <c r="AY31" s="43">
        <f t="shared" si="51"/>
        <v>46500</v>
      </c>
      <c r="AZ31" s="43">
        <f t="shared" si="52"/>
        <v>-22388.710000000003</v>
      </c>
      <c r="BA31" s="44">
        <f t="shared" si="53"/>
        <v>0.51852236559139775</v>
      </c>
    </row>
    <row r="32" spans="1:53" x14ac:dyDescent="0.3">
      <c r="A32" s="41" t="s">
        <v>140</v>
      </c>
      <c r="B32" s="43">
        <f>27896.89</f>
        <v>27896.89</v>
      </c>
      <c r="C32" s="43">
        <f>35000</f>
        <v>35000</v>
      </c>
      <c r="D32" s="43">
        <f t="shared" si="27"/>
        <v>-7103.1100000000006</v>
      </c>
      <c r="E32" s="44">
        <f t="shared" si="28"/>
        <v>0.79705399999999993</v>
      </c>
      <c r="F32" s="43">
        <f>30747.74</f>
        <v>30747.74</v>
      </c>
      <c r="G32" s="43">
        <f>35000</f>
        <v>35000</v>
      </c>
      <c r="H32" s="43">
        <f t="shared" si="29"/>
        <v>-4252.2599999999984</v>
      </c>
      <c r="I32" s="44">
        <f t="shared" si="30"/>
        <v>0.87850685714285714</v>
      </c>
      <c r="J32" s="43">
        <f>30813.95</f>
        <v>30813.95</v>
      </c>
      <c r="K32" s="43">
        <f>35000</f>
        <v>35000</v>
      </c>
      <c r="L32" s="43">
        <f t="shared" si="31"/>
        <v>-4186.0499999999993</v>
      </c>
      <c r="M32" s="44">
        <f t="shared" si="32"/>
        <v>0.88039857142857147</v>
      </c>
      <c r="N32" s="43">
        <f>30874.03</f>
        <v>30874.03</v>
      </c>
      <c r="O32" s="43">
        <f>35000</f>
        <v>35000</v>
      </c>
      <c r="P32" s="43">
        <f t="shared" si="33"/>
        <v>-4125.9700000000012</v>
      </c>
      <c r="Q32" s="44">
        <f t="shared" si="34"/>
        <v>0.88211514285714288</v>
      </c>
      <c r="R32" s="43">
        <f>31921.66</f>
        <v>31921.66</v>
      </c>
      <c r="S32" s="43">
        <f>35000</f>
        <v>35000</v>
      </c>
      <c r="T32" s="43">
        <f t="shared" si="35"/>
        <v>-3078.34</v>
      </c>
      <c r="U32" s="44">
        <f t="shared" si="36"/>
        <v>0.91204742857142862</v>
      </c>
      <c r="V32" s="43">
        <f>30103.81</f>
        <v>30103.81</v>
      </c>
      <c r="W32" s="43">
        <f>35000</f>
        <v>35000</v>
      </c>
      <c r="X32" s="43">
        <f t="shared" si="37"/>
        <v>-4896.1899999999987</v>
      </c>
      <c r="Y32" s="44">
        <f t="shared" si="38"/>
        <v>0.86010885714285723</v>
      </c>
      <c r="Z32" s="43">
        <f>42096.54</f>
        <v>42096.54</v>
      </c>
      <c r="AA32" s="43">
        <f>35000</f>
        <v>35000</v>
      </c>
      <c r="AB32" s="43">
        <f t="shared" si="39"/>
        <v>7096.5400000000009</v>
      </c>
      <c r="AC32" s="44">
        <f t="shared" si="40"/>
        <v>1.2027582857142858</v>
      </c>
      <c r="AD32" s="43">
        <f>31208.74</f>
        <v>31208.74</v>
      </c>
      <c r="AE32" s="43">
        <f>35000</f>
        <v>35000</v>
      </c>
      <c r="AF32" s="43">
        <f t="shared" si="41"/>
        <v>-3791.2599999999984</v>
      </c>
      <c r="AG32" s="44">
        <f t="shared" si="42"/>
        <v>0.89167828571428576</v>
      </c>
      <c r="AH32" s="43">
        <f>30341.7</f>
        <v>30341.7</v>
      </c>
      <c r="AI32" s="43">
        <f>35000</f>
        <v>35000</v>
      </c>
      <c r="AJ32" s="43">
        <f t="shared" si="43"/>
        <v>-4658.2999999999993</v>
      </c>
      <c r="AK32" s="44">
        <f t="shared" si="44"/>
        <v>0.86690571428571428</v>
      </c>
      <c r="AL32" s="43">
        <f>15240.99</f>
        <v>15240.99</v>
      </c>
      <c r="AM32" s="43">
        <f>35000</f>
        <v>35000</v>
      </c>
      <c r="AN32" s="43">
        <f t="shared" si="45"/>
        <v>-19759.010000000002</v>
      </c>
      <c r="AO32" s="44">
        <f t="shared" si="46"/>
        <v>0.43545685714285715</v>
      </c>
      <c r="AP32" s="42"/>
      <c r="AQ32" s="43">
        <f>35000</f>
        <v>35000</v>
      </c>
      <c r="AR32" s="43">
        <f t="shared" si="47"/>
        <v>-35000</v>
      </c>
      <c r="AS32" s="44">
        <f t="shared" si="48"/>
        <v>0</v>
      </c>
      <c r="AT32" s="42"/>
      <c r="AU32" s="43">
        <f>35000</f>
        <v>35000</v>
      </c>
      <c r="AV32" s="43">
        <f t="shared" si="49"/>
        <v>-35000</v>
      </c>
      <c r="AW32" s="44">
        <f t="shared" si="50"/>
        <v>0</v>
      </c>
      <c r="AX32" s="43">
        <f t="shared" si="51"/>
        <v>301246.05</v>
      </c>
      <c r="AY32" s="43">
        <f t="shared" si="51"/>
        <v>420000</v>
      </c>
      <c r="AZ32" s="43">
        <f t="shared" si="52"/>
        <v>-118753.95000000001</v>
      </c>
      <c r="BA32" s="44">
        <f t="shared" si="53"/>
        <v>0.71725249999999996</v>
      </c>
    </row>
    <row r="33" spans="1:53" x14ac:dyDescent="0.3">
      <c r="A33" s="41" t="s">
        <v>141</v>
      </c>
      <c r="B33" s="45">
        <f>((B30)+(B31))+(B32)</f>
        <v>32352.39</v>
      </c>
      <c r="C33" s="45">
        <f>((C30)+(C31))+(C32)</f>
        <v>38875</v>
      </c>
      <c r="D33" s="45">
        <f t="shared" si="27"/>
        <v>-6522.6100000000006</v>
      </c>
      <c r="E33" s="46">
        <f t="shared" si="28"/>
        <v>0.83221581993569127</v>
      </c>
      <c r="F33" s="45">
        <f>((F30)+(F31))+(F32)</f>
        <v>33209.83</v>
      </c>
      <c r="G33" s="45">
        <f>((G30)+(G31))+(G32)</f>
        <v>38875</v>
      </c>
      <c r="H33" s="45">
        <f t="shared" si="29"/>
        <v>-5665.1699999999983</v>
      </c>
      <c r="I33" s="46">
        <f t="shared" si="30"/>
        <v>0.85427215434083603</v>
      </c>
      <c r="J33" s="45">
        <f>((J30)+(J31))+(J32)</f>
        <v>33253.67</v>
      </c>
      <c r="K33" s="45">
        <f>((K30)+(K31))+(K32)</f>
        <v>38875</v>
      </c>
      <c r="L33" s="45">
        <f t="shared" si="31"/>
        <v>-5621.3300000000017</v>
      </c>
      <c r="M33" s="46">
        <f t="shared" si="32"/>
        <v>0.85539987138263662</v>
      </c>
      <c r="N33" s="45">
        <f>((N30)+(N31))+(N32)</f>
        <v>33294.129999999997</v>
      </c>
      <c r="O33" s="45">
        <f>((O30)+(O31))+(O32)</f>
        <v>38875</v>
      </c>
      <c r="P33" s="45">
        <f t="shared" si="33"/>
        <v>-5580.8700000000026</v>
      </c>
      <c r="Q33" s="46">
        <f t="shared" si="34"/>
        <v>0.85644064308681667</v>
      </c>
      <c r="R33" s="45">
        <f>((R30)+(R31))+(R32)</f>
        <v>34388.92</v>
      </c>
      <c r="S33" s="45">
        <f>((S30)+(S31))+(S32)</f>
        <v>38875</v>
      </c>
      <c r="T33" s="45">
        <f t="shared" si="35"/>
        <v>-4486.0800000000017</v>
      </c>
      <c r="U33" s="46">
        <f t="shared" si="36"/>
        <v>0.88460244372990349</v>
      </c>
      <c r="V33" s="45">
        <f>((V30)+(V31))+(V32)</f>
        <v>33909.25</v>
      </c>
      <c r="W33" s="45">
        <f>((W30)+(W31))+(W32)</f>
        <v>38875</v>
      </c>
      <c r="X33" s="45">
        <f t="shared" si="37"/>
        <v>-4965.75</v>
      </c>
      <c r="Y33" s="46">
        <f t="shared" si="38"/>
        <v>0.87226366559485535</v>
      </c>
      <c r="Z33" s="45">
        <f>((Z30)+(Z31))+(Z32)</f>
        <v>48356.05</v>
      </c>
      <c r="AA33" s="45">
        <f>((AA30)+(AA31))+(AA32)</f>
        <v>38875</v>
      </c>
      <c r="AB33" s="45">
        <f t="shared" si="39"/>
        <v>9481.0500000000029</v>
      </c>
      <c r="AC33" s="46">
        <f t="shared" si="40"/>
        <v>1.2438855305466239</v>
      </c>
      <c r="AD33" s="45">
        <f>((AD30)+(AD31))+(AD32)</f>
        <v>33600.400000000001</v>
      </c>
      <c r="AE33" s="45">
        <f>((AE30)+(AE31))+(AE32)</f>
        <v>38875</v>
      </c>
      <c r="AF33" s="45">
        <f t="shared" si="41"/>
        <v>-5274.5999999999985</v>
      </c>
      <c r="AG33" s="46">
        <f t="shared" si="42"/>
        <v>0.86431897106109323</v>
      </c>
      <c r="AH33" s="45">
        <f>((AH30)+(AH31))+(AH32)</f>
        <v>34241.68</v>
      </c>
      <c r="AI33" s="45">
        <f>((AI30)+(AI31))+(AI32)</f>
        <v>38875</v>
      </c>
      <c r="AJ33" s="45">
        <f t="shared" si="43"/>
        <v>-4633.32</v>
      </c>
      <c r="AK33" s="46">
        <f t="shared" si="44"/>
        <v>0.88081491961414793</v>
      </c>
      <c r="AL33" s="45">
        <f>((AL30)+(AL31))+(AL32)</f>
        <v>16407.72</v>
      </c>
      <c r="AM33" s="45">
        <f>((AM30)+(AM31))+(AM32)</f>
        <v>38875</v>
      </c>
      <c r="AN33" s="45">
        <f t="shared" si="45"/>
        <v>-22467.279999999999</v>
      </c>
      <c r="AO33" s="46">
        <f t="shared" si="46"/>
        <v>0.42206353697749199</v>
      </c>
      <c r="AP33" s="45">
        <f>((AP30)+(AP31))+(AP32)</f>
        <v>0</v>
      </c>
      <c r="AQ33" s="45">
        <f>((AQ30)+(AQ31))+(AQ32)</f>
        <v>38875</v>
      </c>
      <c r="AR33" s="45">
        <f t="shared" si="47"/>
        <v>-38875</v>
      </c>
      <c r="AS33" s="46">
        <f t="shared" si="48"/>
        <v>0</v>
      </c>
      <c r="AT33" s="45">
        <f>((AT30)+(AT31))+(AT32)</f>
        <v>0</v>
      </c>
      <c r="AU33" s="45">
        <f>((AU30)+(AU31))+(AU32)</f>
        <v>38875</v>
      </c>
      <c r="AV33" s="45">
        <f t="shared" si="49"/>
        <v>-38875</v>
      </c>
      <c r="AW33" s="46">
        <f t="shared" si="50"/>
        <v>0</v>
      </c>
      <c r="AX33" s="45">
        <f t="shared" si="51"/>
        <v>333014.04000000004</v>
      </c>
      <c r="AY33" s="45">
        <f t="shared" si="51"/>
        <v>466500</v>
      </c>
      <c r="AZ33" s="45">
        <f t="shared" si="52"/>
        <v>-133485.95999999996</v>
      </c>
      <c r="BA33" s="46">
        <f t="shared" si="53"/>
        <v>0.71385646302250816</v>
      </c>
    </row>
    <row r="34" spans="1:53" x14ac:dyDescent="0.3">
      <c r="A34" s="41" t="s">
        <v>142</v>
      </c>
      <c r="B34" s="42"/>
      <c r="C34" s="42"/>
      <c r="D34" s="43">
        <f t="shared" si="27"/>
        <v>0</v>
      </c>
      <c r="E34" s="44" t="str">
        <f t="shared" si="28"/>
        <v/>
      </c>
      <c r="F34" s="42"/>
      <c r="G34" s="42"/>
      <c r="H34" s="43">
        <f t="shared" si="29"/>
        <v>0</v>
      </c>
      <c r="I34" s="44" t="str">
        <f t="shared" si="30"/>
        <v/>
      </c>
      <c r="J34" s="42"/>
      <c r="K34" s="42"/>
      <c r="L34" s="43">
        <f t="shared" si="31"/>
        <v>0</v>
      </c>
      <c r="M34" s="44" t="str">
        <f t="shared" si="32"/>
        <v/>
      </c>
      <c r="N34" s="42"/>
      <c r="O34" s="42"/>
      <c r="P34" s="43">
        <f t="shared" si="33"/>
        <v>0</v>
      </c>
      <c r="Q34" s="44" t="str">
        <f t="shared" si="34"/>
        <v/>
      </c>
      <c r="R34" s="42"/>
      <c r="S34" s="42"/>
      <c r="T34" s="43">
        <f t="shared" si="35"/>
        <v>0</v>
      </c>
      <c r="U34" s="44" t="str">
        <f t="shared" si="36"/>
        <v/>
      </c>
      <c r="V34" s="42"/>
      <c r="W34" s="42"/>
      <c r="X34" s="43">
        <f t="shared" si="37"/>
        <v>0</v>
      </c>
      <c r="Y34" s="44" t="str">
        <f t="shared" si="38"/>
        <v/>
      </c>
      <c r="Z34" s="43">
        <f>188.13</f>
        <v>188.13</v>
      </c>
      <c r="AA34" s="42"/>
      <c r="AB34" s="43">
        <f t="shared" si="39"/>
        <v>188.13</v>
      </c>
      <c r="AC34" s="44" t="str">
        <f t="shared" si="40"/>
        <v/>
      </c>
      <c r="AD34" s="42"/>
      <c r="AE34" s="42"/>
      <c r="AF34" s="43">
        <f t="shared" si="41"/>
        <v>0</v>
      </c>
      <c r="AG34" s="44" t="str">
        <f t="shared" si="42"/>
        <v/>
      </c>
      <c r="AH34" s="43">
        <f>19.09</f>
        <v>19.09</v>
      </c>
      <c r="AI34" s="42"/>
      <c r="AJ34" s="43">
        <f t="shared" si="43"/>
        <v>19.09</v>
      </c>
      <c r="AK34" s="44" t="str">
        <f t="shared" si="44"/>
        <v/>
      </c>
      <c r="AL34" s="42"/>
      <c r="AM34" s="42"/>
      <c r="AN34" s="43">
        <f t="shared" si="45"/>
        <v>0</v>
      </c>
      <c r="AO34" s="44" t="str">
        <f t="shared" si="46"/>
        <v/>
      </c>
      <c r="AP34" s="42"/>
      <c r="AQ34" s="42"/>
      <c r="AR34" s="43">
        <f t="shared" si="47"/>
        <v>0</v>
      </c>
      <c r="AS34" s="44" t="str">
        <f t="shared" si="48"/>
        <v/>
      </c>
      <c r="AT34" s="42"/>
      <c r="AU34" s="42"/>
      <c r="AV34" s="43">
        <f t="shared" si="49"/>
        <v>0</v>
      </c>
      <c r="AW34" s="44" t="str">
        <f t="shared" si="50"/>
        <v/>
      </c>
      <c r="AX34" s="43">
        <f t="shared" si="51"/>
        <v>207.22</v>
      </c>
      <c r="AY34" s="43">
        <f t="shared" si="51"/>
        <v>0</v>
      </c>
      <c r="AZ34" s="43">
        <f t="shared" si="52"/>
        <v>207.22</v>
      </c>
      <c r="BA34" s="44" t="str">
        <f t="shared" si="53"/>
        <v/>
      </c>
    </row>
    <row r="35" spans="1:53" x14ac:dyDescent="0.3">
      <c r="A35" s="41" t="s">
        <v>143</v>
      </c>
      <c r="B35" s="43">
        <f>248</f>
        <v>248</v>
      </c>
      <c r="C35" s="43">
        <f>1000</f>
        <v>1000</v>
      </c>
      <c r="D35" s="43">
        <f t="shared" si="27"/>
        <v>-752</v>
      </c>
      <c r="E35" s="44">
        <f t="shared" si="28"/>
        <v>0.248</v>
      </c>
      <c r="F35" s="43">
        <f>198</f>
        <v>198</v>
      </c>
      <c r="G35" s="43">
        <f>1000</f>
        <v>1000</v>
      </c>
      <c r="H35" s="43">
        <f t="shared" si="29"/>
        <v>-802</v>
      </c>
      <c r="I35" s="44">
        <f t="shared" si="30"/>
        <v>0.19800000000000001</v>
      </c>
      <c r="J35" s="43">
        <f>198</f>
        <v>198</v>
      </c>
      <c r="K35" s="43">
        <f>1000</f>
        <v>1000</v>
      </c>
      <c r="L35" s="43">
        <f t="shared" si="31"/>
        <v>-802</v>
      </c>
      <c r="M35" s="44">
        <f t="shared" si="32"/>
        <v>0.19800000000000001</v>
      </c>
      <c r="N35" s="43">
        <f>198</f>
        <v>198</v>
      </c>
      <c r="O35" s="43">
        <f>1000</f>
        <v>1000</v>
      </c>
      <c r="P35" s="43">
        <f t="shared" si="33"/>
        <v>-802</v>
      </c>
      <c r="Q35" s="44">
        <f t="shared" si="34"/>
        <v>0.19800000000000001</v>
      </c>
      <c r="R35" s="43">
        <f>4173</f>
        <v>4173</v>
      </c>
      <c r="S35" s="43">
        <f>1000</f>
        <v>1000</v>
      </c>
      <c r="T35" s="43">
        <f t="shared" si="35"/>
        <v>3173</v>
      </c>
      <c r="U35" s="44">
        <f t="shared" si="36"/>
        <v>4.173</v>
      </c>
      <c r="V35" s="43">
        <f>3948</f>
        <v>3948</v>
      </c>
      <c r="W35" s="43">
        <f>1000</f>
        <v>1000</v>
      </c>
      <c r="X35" s="43">
        <f t="shared" si="37"/>
        <v>2948</v>
      </c>
      <c r="Y35" s="44">
        <f t="shared" si="38"/>
        <v>3.948</v>
      </c>
      <c r="Z35" s="43">
        <f>198</f>
        <v>198</v>
      </c>
      <c r="AA35" s="43">
        <f>1000</f>
        <v>1000</v>
      </c>
      <c r="AB35" s="43">
        <f t="shared" si="39"/>
        <v>-802</v>
      </c>
      <c r="AC35" s="44">
        <f t="shared" si="40"/>
        <v>0.19800000000000001</v>
      </c>
      <c r="AD35" s="43">
        <f>186</f>
        <v>186</v>
      </c>
      <c r="AE35" s="43">
        <f>1000</f>
        <v>1000</v>
      </c>
      <c r="AF35" s="43">
        <f t="shared" si="41"/>
        <v>-814</v>
      </c>
      <c r="AG35" s="44">
        <f t="shared" si="42"/>
        <v>0.186</v>
      </c>
      <c r="AH35" s="43">
        <f>198</f>
        <v>198</v>
      </c>
      <c r="AI35" s="43">
        <f>1000</f>
        <v>1000</v>
      </c>
      <c r="AJ35" s="43">
        <f t="shared" si="43"/>
        <v>-802</v>
      </c>
      <c r="AK35" s="44">
        <f t="shared" si="44"/>
        <v>0.19800000000000001</v>
      </c>
      <c r="AL35" s="42"/>
      <c r="AM35" s="43">
        <f>1000</f>
        <v>1000</v>
      </c>
      <c r="AN35" s="43">
        <f t="shared" si="45"/>
        <v>-1000</v>
      </c>
      <c r="AO35" s="44">
        <f t="shared" si="46"/>
        <v>0</v>
      </c>
      <c r="AP35" s="42"/>
      <c r="AQ35" s="43">
        <f>1000</f>
        <v>1000</v>
      </c>
      <c r="AR35" s="43">
        <f t="shared" si="47"/>
        <v>-1000</v>
      </c>
      <c r="AS35" s="44">
        <f t="shared" si="48"/>
        <v>0</v>
      </c>
      <c r="AT35" s="42"/>
      <c r="AU35" s="43">
        <f>1000</f>
        <v>1000</v>
      </c>
      <c r="AV35" s="43">
        <f t="shared" si="49"/>
        <v>-1000</v>
      </c>
      <c r="AW35" s="44">
        <f t="shared" si="50"/>
        <v>0</v>
      </c>
      <c r="AX35" s="43">
        <f t="shared" si="51"/>
        <v>9545</v>
      </c>
      <c r="AY35" s="43">
        <f t="shared" si="51"/>
        <v>12000</v>
      </c>
      <c r="AZ35" s="43">
        <f t="shared" si="52"/>
        <v>-2455</v>
      </c>
      <c r="BA35" s="44">
        <f t="shared" si="53"/>
        <v>0.79541666666666666</v>
      </c>
    </row>
    <row r="36" spans="1:53" x14ac:dyDescent="0.3">
      <c r="A36" s="41" t="s">
        <v>144</v>
      </c>
      <c r="B36" s="42"/>
      <c r="C36" s="43">
        <f>1000</f>
        <v>1000</v>
      </c>
      <c r="D36" s="43">
        <f t="shared" si="27"/>
        <v>-1000</v>
      </c>
      <c r="E36" s="44">
        <f t="shared" si="28"/>
        <v>0</v>
      </c>
      <c r="F36" s="42"/>
      <c r="G36" s="43">
        <f>1000</f>
        <v>1000</v>
      </c>
      <c r="H36" s="43">
        <f t="shared" si="29"/>
        <v>-1000</v>
      </c>
      <c r="I36" s="44">
        <f t="shared" si="30"/>
        <v>0</v>
      </c>
      <c r="J36" s="43">
        <f>850</f>
        <v>850</v>
      </c>
      <c r="K36" s="43">
        <f>1000</f>
        <v>1000</v>
      </c>
      <c r="L36" s="43">
        <f t="shared" si="31"/>
        <v>-150</v>
      </c>
      <c r="M36" s="44">
        <f t="shared" si="32"/>
        <v>0.85</v>
      </c>
      <c r="N36" s="43">
        <f>248.14</f>
        <v>248.14</v>
      </c>
      <c r="O36" s="43">
        <f>1000</f>
        <v>1000</v>
      </c>
      <c r="P36" s="43">
        <f t="shared" si="33"/>
        <v>-751.86</v>
      </c>
      <c r="Q36" s="44">
        <f t="shared" si="34"/>
        <v>0.24814</v>
      </c>
      <c r="R36" s="42"/>
      <c r="S36" s="43">
        <f>1000</f>
        <v>1000</v>
      </c>
      <c r="T36" s="43">
        <f t="shared" si="35"/>
        <v>-1000</v>
      </c>
      <c r="U36" s="44">
        <f t="shared" si="36"/>
        <v>0</v>
      </c>
      <c r="V36" s="43">
        <f>327.41</f>
        <v>327.41000000000003</v>
      </c>
      <c r="W36" s="43">
        <f>1000</f>
        <v>1000</v>
      </c>
      <c r="X36" s="43">
        <f t="shared" si="37"/>
        <v>-672.58999999999992</v>
      </c>
      <c r="Y36" s="44">
        <f t="shared" si="38"/>
        <v>0.32741000000000003</v>
      </c>
      <c r="Z36" s="43">
        <f>150</f>
        <v>150</v>
      </c>
      <c r="AA36" s="43">
        <f>1000</f>
        <v>1000</v>
      </c>
      <c r="AB36" s="43">
        <f t="shared" si="39"/>
        <v>-850</v>
      </c>
      <c r="AC36" s="44">
        <f t="shared" si="40"/>
        <v>0.15</v>
      </c>
      <c r="AD36" s="42"/>
      <c r="AE36" s="43">
        <f>1000</f>
        <v>1000</v>
      </c>
      <c r="AF36" s="43">
        <f t="shared" si="41"/>
        <v>-1000</v>
      </c>
      <c r="AG36" s="44">
        <f t="shared" si="42"/>
        <v>0</v>
      </c>
      <c r="AH36" s="43">
        <f>949.51</f>
        <v>949.51</v>
      </c>
      <c r="AI36" s="43">
        <f>1000</f>
        <v>1000</v>
      </c>
      <c r="AJ36" s="43">
        <f t="shared" si="43"/>
        <v>-50.490000000000009</v>
      </c>
      <c r="AK36" s="44">
        <f t="shared" si="44"/>
        <v>0.94950999999999997</v>
      </c>
      <c r="AL36" s="42"/>
      <c r="AM36" s="43">
        <f>1000</f>
        <v>1000</v>
      </c>
      <c r="AN36" s="43">
        <f t="shared" si="45"/>
        <v>-1000</v>
      </c>
      <c r="AO36" s="44">
        <f t="shared" si="46"/>
        <v>0</v>
      </c>
      <c r="AP36" s="42"/>
      <c r="AQ36" s="43">
        <f>1000</f>
        <v>1000</v>
      </c>
      <c r="AR36" s="43">
        <f t="shared" si="47"/>
        <v>-1000</v>
      </c>
      <c r="AS36" s="44">
        <f t="shared" si="48"/>
        <v>0</v>
      </c>
      <c r="AT36" s="42"/>
      <c r="AU36" s="43">
        <f>1000</f>
        <v>1000</v>
      </c>
      <c r="AV36" s="43">
        <f t="shared" si="49"/>
        <v>-1000</v>
      </c>
      <c r="AW36" s="44">
        <f t="shared" si="50"/>
        <v>0</v>
      </c>
      <c r="AX36" s="43">
        <f t="shared" si="51"/>
        <v>2525.06</v>
      </c>
      <c r="AY36" s="43">
        <f t="shared" si="51"/>
        <v>12000</v>
      </c>
      <c r="AZ36" s="43">
        <f t="shared" si="52"/>
        <v>-9474.94</v>
      </c>
      <c r="BA36" s="44">
        <f t="shared" si="53"/>
        <v>0.21042166666666667</v>
      </c>
    </row>
    <row r="37" spans="1:53" x14ac:dyDescent="0.3">
      <c r="A37" s="41" t="s">
        <v>145</v>
      </c>
      <c r="B37" s="43">
        <f>6</f>
        <v>6</v>
      </c>
      <c r="C37" s="43">
        <f>1250</f>
        <v>1250</v>
      </c>
      <c r="D37" s="43">
        <f t="shared" si="27"/>
        <v>-1244</v>
      </c>
      <c r="E37" s="44">
        <f t="shared" si="28"/>
        <v>4.7999999999999996E-3</v>
      </c>
      <c r="F37" s="42"/>
      <c r="G37" s="43">
        <f>1250</f>
        <v>1250</v>
      </c>
      <c r="H37" s="43">
        <f t="shared" si="29"/>
        <v>-1250</v>
      </c>
      <c r="I37" s="44">
        <f t="shared" si="30"/>
        <v>0</v>
      </c>
      <c r="J37" s="42"/>
      <c r="K37" s="43">
        <f>1250</f>
        <v>1250</v>
      </c>
      <c r="L37" s="43">
        <f t="shared" si="31"/>
        <v>-1250</v>
      </c>
      <c r="M37" s="44">
        <f t="shared" si="32"/>
        <v>0</v>
      </c>
      <c r="N37" s="43">
        <f>78</f>
        <v>78</v>
      </c>
      <c r="O37" s="43">
        <f>1250</f>
        <v>1250</v>
      </c>
      <c r="P37" s="43">
        <f t="shared" si="33"/>
        <v>-1172</v>
      </c>
      <c r="Q37" s="44">
        <f t="shared" si="34"/>
        <v>6.2399999999999997E-2</v>
      </c>
      <c r="R37" s="42"/>
      <c r="S37" s="43">
        <f>1250</f>
        <v>1250</v>
      </c>
      <c r="T37" s="43">
        <f t="shared" si="35"/>
        <v>-1250</v>
      </c>
      <c r="U37" s="44">
        <f t="shared" si="36"/>
        <v>0</v>
      </c>
      <c r="V37" s="43">
        <f>294</f>
        <v>294</v>
      </c>
      <c r="W37" s="43">
        <f>1250</f>
        <v>1250</v>
      </c>
      <c r="X37" s="43">
        <f t="shared" si="37"/>
        <v>-956</v>
      </c>
      <c r="Y37" s="44">
        <f t="shared" si="38"/>
        <v>0.23519999999999999</v>
      </c>
      <c r="Z37" s="43">
        <f>616</f>
        <v>616</v>
      </c>
      <c r="AA37" s="43">
        <f>1250</f>
        <v>1250</v>
      </c>
      <c r="AB37" s="43">
        <f t="shared" si="39"/>
        <v>-634</v>
      </c>
      <c r="AC37" s="44">
        <f t="shared" si="40"/>
        <v>0.49280000000000002</v>
      </c>
      <c r="AD37" s="42"/>
      <c r="AE37" s="43">
        <f>1250</f>
        <v>1250</v>
      </c>
      <c r="AF37" s="43">
        <f t="shared" si="41"/>
        <v>-1250</v>
      </c>
      <c r="AG37" s="44">
        <f t="shared" si="42"/>
        <v>0</v>
      </c>
      <c r="AH37" s="43">
        <f>115.5</f>
        <v>115.5</v>
      </c>
      <c r="AI37" s="43">
        <f>1250</f>
        <v>1250</v>
      </c>
      <c r="AJ37" s="43">
        <f t="shared" si="43"/>
        <v>-1134.5</v>
      </c>
      <c r="AK37" s="44">
        <f t="shared" si="44"/>
        <v>9.2399999999999996E-2</v>
      </c>
      <c r="AL37" s="42"/>
      <c r="AM37" s="43">
        <f>1250</f>
        <v>1250</v>
      </c>
      <c r="AN37" s="43">
        <f t="shared" si="45"/>
        <v>-1250</v>
      </c>
      <c r="AO37" s="44">
        <f t="shared" si="46"/>
        <v>0</v>
      </c>
      <c r="AP37" s="42"/>
      <c r="AQ37" s="43">
        <f>1250</f>
        <v>1250</v>
      </c>
      <c r="AR37" s="43">
        <f t="shared" si="47"/>
        <v>-1250</v>
      </c>
      <c r="AS37" s="44">
        <f t="shared" si="48"/>
        <v>0</v>
      </c>
      <c r="AT37" s="42"/>
      <c r="AU37" s="43">
        <f>1250</f>
        <v>1250</v>
      </c>
      <c r="AV37" s="43">
        <f t="shared" si="49"/>
        <v>-1250</v>
      </c>
      <c r="AW37" s="44">
        <f t="shared" si="50"/>
        <v>0</v>
      </c>
      <c r="AX37" s="43">
        <f t="shared" si="51"/>
        <v>1109.5</v>
      </c>
      <c r="AY37" s="43">
        <f t="shared" si="51"/>
        <v>15000</v>
      </c>
      <c r="AZ37" s="43">
        <f t="shared" si="52"/>
        <v>-13890.5</v>
      </c>
      <c r="BA37" s="44">
        <f t="shared" si="53"/>
        <v>7.3966666666666667E-2</v>
      </c>
    </row>
    <row r="38" spans="1:53" x14ac:dyDescent="0.3">
      <c r="A38" s="41" t="s">
        <v>146</v>
      </c>
      <c r="B38" s="42"/>
      <c r="C38" s="42"/>
      <c r="D38" s="43">
        <f t="shared" si="27"/>
        <v>0</v>
      </c>
      <c r="E38" s="44" t="str">
        <f t="shared" si="28"/>
        <v/>
      </c>
      <c r="F38" s="42"/>
      <c r="G38" s="42"/>
      <c r="H38" s="43">
        <f t="shared" si="29"/>
        <v>0</v>
      </c>
      <c r="I38" s="44" t="str">
        <f t="shared" si="30"/>
        <v/>
      </c>
      <c r="J38" s="42"/>
      <c r="K38" s="42"/>
      <c r="L38" s="43">
        <f t="shared" si="31"/>
        <v>0</v>
      </c>
      <c r="M38" s="44" t="str">
        <f t="shared" si="32"/>
        <v/>
      </c>
      <c r="N38" s="42"/>
      <c r="O38" s="42"/>
      <c r="P38" s="43">
        <f t="shared" si="33"/>
        <v>0</v>
      </c>
      <c r="Q38" s="44" t="str">
        <f t="shared" si="34"/>
        <v/>
      </c>
      <c r="R38" s="42"/>
      <c r="S38" s="42"/>
      <c r="T38" s="43">
        <f t="shared" si="35"/>
        <v>0</v>
      </c>
      <c r="U38" s="44" t="str">
        <f t="shared" si="36"/>
        <v/>
      </c>
      <c r="V38" s="42"/>
      <c r="W38" s="42"/>
      <c r="X38" s="43">
        <f t="shared" si="37"/>
        <v>0</v>
      </c>
      <c r="Y38" s="44" t="str">
        <f t="shared" si="38"/>
        <v/>
      </c>
      <c r="Z38" s="42"/>
      <c r="AA38" s="42"/>
      <c r="AB38" s="43">
        <f t="shared" si="39"/>
        <v>0</v>
      </c>
      <c r="AC38" s="44" t="str">
        <f t="shared" si="40"/>
        <v/>
      </c>
      <c r="AD38" s="42"/>
      <c r="AE38" s="42"/>
      <c r="AF38" s="43">
        <f t="shared" si="41"/>
        <v>0</v>
      </c>
      <c r="AG38" s="44" t="str">
        <f t="shared" si="42"/>
        <v/>
      </c>
      <c r="AH38" s="42"/>
      <c r="AI38" s="42"/>
      <c r="AJ38" s="43">
        <f t="shared" si="43"/>
        <v>0</v>
      </c>
      <c r="AK38" s="44" t="str">
        <f t="shared" si="44"/>
        <v/>
      </c>
      <c r="AL38" s="42"/>
      <c r="AM38" s="42"/>
      <c r="AN38" s="43">
        <f t="shared" si="45"/>
        <v>0</v>
      </c>
      <c r="AO38" s="44" t="str">
        <f t="shared" si="46"/>
        <v/>
      </c>
      <c r="AP38" s="42"/>
      <c r="AQ38" s="42"/>
      <c r="AR38" s="43">
        <f t="shared" si="47"/>
        <v>0</v>
      </c>
      <c r="AS38" s="44" t="str">
        <f t="shared" si="48"/>
        <v/>
      </c>
      <c r="AT38" s="42"/>
      <c r="AU38" s="42"/>
      <c r="AV38" s="43">
        <f t="shared" si="49"/>
        <v>0</v>
      </c>
      <c r="AW38" s="44" t="str">
        <f t="shared" si="50"/>
        <v/>
      </c>
      <c r="AX38" s="43">
        <f t="shared" si="51"/>
        <v>0</v>
      </c>
      <c r="AY38" s="43">
        <f t="shared" si="51"/>
        <v>0</v>
      </c>
      <c r="AZ38" s="43">
        <f t="shared" si="52"/>
        <v>0</v>
      </c>
      <c r="BA38" s="44" t="str">
        <f t="shared" si="53"/>
        <v/>
      </c>
    </row>
    <row r="39" spans="1:53" x14ac:dyDescent="0.3">
      <c r="A39" s="41" t="s">
        <v>147</v>
      </c>
      <c r="B39" s="42"/>
      <c r="C39" s="42"/>
      <c r="D39" s="43">
        <f t="shared" si="27"/>
        <v>0</v>
      </c>
      <c r="E39" s="44" t="str">
        <f t="shared" si="28"/>
        <v/>
      </c>
      <c r="F39" s="42"/>
      <c r="G39" s="42"/>
      <c r="H39" s="43">
        <f t="shared" si="29"/>
        <v>0</v>
      </c>
      <c r="I39" s="44" t="str">
        <f t="shared" si="30"/>
        <v/>
      </c>
      <c r="J39" s="42"/>
      <c r="K39" s="42"/>
      <c r="L39" s="43">
        <f t="shared" si="31"/>
        <v>0</v>
      </c>
      <c r="M39" s="44" t="str">
        <f t="shared" si="32"/>
        <v/>
      </c>
      <c r="N39" s="42"/>
      <c r="O39" s="42"/>
      <c r="P39" s="43">
        <f t="shared" si="33"/>
        <v>0</v>
      </c>
      <c r="Q39" s="44" t="str">
        <f t="shared" si="34"/>
        <v/>
      </c>
      <c r="R39" s="42"/>
      <c r="S39" s="42"/>
      <c r="T39" s="43">
        <f t="shared" si="35"/>
        <v>0</v>
      </c>
      <c r="U39" s="44" t="str">
        <f t="shared" si="36"/>
        <v/>
      </c>
      <c r="V39" s="42"/>
      <c r="W39" s="42"/>
      <c r="X39" s="43">
        <f t="shared" si="37"/>
        <v>0</v>
      </c>
      <c r="Y39" s="44" t="str">
        <f t="shared" si="38"/>
        <v/>
      </c>
      <c r="Z39" s="42"/>
      <c r="AA39" s="42"/>
      <c r="AB39" s="43">
        <f t="shared" si="39"/>
        <v>0</v>
      </c>
      <c r="AC39" s="44" t="str">
        <f t="shared" si="40"/>
        <v/>
      </c>
      <c r="AD39" s="42"/>
      <c r="AE39" s="42"/>
      <c r="AF39" s="43">
        <f t="shared" si="41"/>
        <v>0</v>
      </c>
      <c r="AG39" s="44" t="str">
        <f t="shared" si="42"/>
        <v/>
      </c>
      <c r="AH39" s="42"/>
      <c r="AI39" s="42"/>
      <c r="AJ39" s="43">
        <f t="shared" si="43"/>
        <v>0</v>
      </c>
      <c r="AK39" s="44" t="str">
        <f t="shared" si="44"/>
        <v/>
      </c>
      <c r="AL39" s="42"/>
      <c r="AM39" s="42"/>
      <c r="AN39" s="43">
        <f t="shared" si="45"/>
        <v>0</v>
      </c>
      <c r="AO39" s="44" t="str">
        <f t="shared" si="46"/>
        <v/>
      </c>
      <c r="AP39" s="42"/>
      <c r="AQ39" s="42"/>
      <c r="AR39" s="43">
        <f t="shared" si="47"/>
        <v>0</v>
      </c>
      <c r="AS39" s="44" t="str">
        <f t="shared" si="48"/>
        <v/>
      </c>
      <c r="AT39" s="42"/>
      <c r="AU39" s="42"/>
      <c r="AV39" s="43">
        <f t="shared" si="49"/>
        <v>0</v>
      </c>
      <c r="AW39" s="44" t="str">
        <f t="shared" si="50"/>
        <v/>
      </c>
      <c r="AX39" s="43">
        <f t="shared" si="51"/>
        <v>0</v>
      </c>
      <c r="AY39" s="43">
        <f t="shared" si="51"/>
        <v>0</v>
      </c>
      <c r="AZ39" s="43">
        <f t="shared" si="52"/>
        <v>0</v>
      </c>
      <c r="BA39" s="44" t="str">
        <f t="shared" si="53"/>
        <v/>
      </c>
    </row>
    <row r="40" spans="1:53" x14ac:dyDescent="0.3">
      <c r="A40" s="41" t="s">
        <v>148</v>
      </c>
      <c r="B40" s="43">
        <f>363.41</f>
        <v>363.41</v>
      </c>
      <c r="C40" s="43">
        <f>416.67</f>
        <v>416.67</v>
      </c>
      <c r="D40" s="43">
        <f t="shared" si="27"/>
        <v>-53.259999999999991</v>
      </c>
      <c r="E40" s="44">
        <f t="shared" si="28"/>
        <v>0.87217702258381935</v>
      </c>
      <c r="F40" s="43">
        <f>530.89</f>
        <v>530.89</v>
      </c>
      <c r="G40" s="43">
        <f>416.67</f>
        <v>416.67</v>
      </c>
      <c r="H40" s="43">
        <f t="shared" si="29"/>
        <v>114.21999999999997</v>
      </c>
      <c r="I40" s="44">
        <f t="shared" si="30"/>
        <v>1.2741258069935439</v>
      </c>
      <c r="J40" s="43">
        <f>231.95</f>
        <v>231.95</v>
      </c>
      <c r="K40" s="43">
        <f>416.67</f>
        <v>416.67</v>
      </c>
      <c r="L40" s="43">
        <f t="shared" si="31"/>
        <v>-184.72000000000003</v>
      </c>
      <c r="M40" s="44">
        <f t="shared" si="32"/>
        <v>0.55667554659562724</v>
      </c>
      <c r="N40" s="43">
        <f>359.31</f>
        <v>359.31</v>
      </c>
      <c r="O40" s="43">
        <f>416.67</f>
        <v>416.67</v>
      </c>
      <c r="P40" s="43">
        <f t="shared" si="33"/>
        <v>-57.360000000000014</v>
      </c>
      <c r="Q40" s="44">
        <f t="shared" si="34"/>
        <v>0.86233710130318952</v>
      </c>
      <c r="R40" s="43">
        <f>386.17</f>
        <v>386.17</v>
      </c>
      <c r="S40" s="43">
        <f>416.67</f>
        <v>416.67</v>
      </c>
      <c r="T40" s="43">
        <f t="shared" si="35"/>
        <v>-30.5</v>
      </c>
      <c r="U40" s="44">
        <f t="shared" si="36"/>
        <v>0.9268005855953152</v>
      </c>
      <c r="V40" s="43">
        <f>499.9</f>
        <v>499.9</v>
      </c>
      <c r="W40" s="43">
        <f>416.67</f>
        <v>416.67</v>
      </c>
      <c r="X40" s="43">
        <f t="shared" si="37"/>
        <v>83.229999999999961</v>
      </c>
      <c r="Y40" s="44">
        <f t="shared" si="38"/>
        <v>1.199750401996784</v>
      </c>
      <c r="Z40" s="43">
        <f>344.92</f>
        <v>344.92</v>
      </c>
      <c r="AA40" s="43">
        <f>416.67</f>
        <v>416.67</v>
      </c>
      <c r="AB40" s="43">
        <f t="shared" si="39"/>
        <v>-71.75</v>
      </c>
      <c r="AC40" s="44">
        <f t="shared" si="40"/>
        <v>0.82780137758897931</v>
      </c>
      <c r="AD40" s="43">
        <f>352.92</f>
        <v>352.92</v>
      </c>
      <c r="AE40" s="43">
        <f>416.67</f>
        <v>416.67</v>
      </c>
      <c r="AF40" s="43">
        <f t="shared" si="41"/>
        <v>-63.75</v>
      </c>
      <c r="AG40" s="44">
        <f t="shared" si="42"/>
        <v>0.84700122399020805</v>
      </c>
      <c r="AH40" s="43">
        <f>399.65</f>
        <v>399.65</v>
      </c>
      <c r="AI40" s="43">
        <f>416.67</f>
        <v>416.67</v>
      </c>
      <c r="AJ40" s="43">
        <f t="shared" si="43"/>
        <v>-17.020000000000039</v>
      </c>
      <c r="AK40" s="44">
        <f t="shared" si="44"/>
        <v>0.95915232678138562</v>
      </c>
      <c r="AL40" s="42"/>
      <c r="AM40" s="43">
        <f>416.67</f>
        <v>416.67</v>
      </c>
      <c r="AN40" s="43">
        <f t="shared" si="45"/>
        <v>-416.67</v>
      </c>
      <c r="AO40" s="44">
        <f t="shared" si="46"/>
        <v>0</v>
      </c>
      <c r="AP40" s="42"/>
      <c r="AQ40" s="43">
        <f>416.67</f>
        <v>416.67</v>
      </c>
      <c r="AR40" s="43">
        <f t="shared" si="47"/>
        <v>-416.67</v>
      </c>
      <c r="AS40" s="44">
        <f t="shared" si="48"/>
        <v>0</v>
      </c>
      <c r="AT40" s="42"/>
      <c r="AU40" s="43">
        <f>416.63</f>
        <v>416.63</v>
      </c>
      <c r="AV40" s="43">
        <f t="shared" si="49"/>
        <v>-416.63</v>
      </c>
      <c r="AW40" s="44">
        <f t="shared" si="50"/>
        <v>0</v>
      </c>
      <c r="AX40" s="43">
        <f t="shared" si="51"/>
        <v>3469.1200000000003</v>
      </c>
      <c r="AY40" s="43">
        <f t="shared" si="51"/>
        <v>5000</v>
      </c>
      <c r="AZ40" s="43">
        <f t="shared" si="52"/>
        <v>-1530.8799999999997</v>
      </c>
      <c r="BA40" s="44">
        <f t="shared" si="53"/>
        <v>0.69382400000000011</v>
      </c>
    </row>
    <row r="41" spans="1:53" x14ac:dyDescent="0.3">
      <c r="A41" s="41" t="s">
        <v>149</v>
      </c>
      <c r="B41" s="43">
        <f>216.95</f>
        <v>216.95</v>
      </c>
      <c r="C41" s="43">
        <f>125</f>
        <v>125</v>
      </c>
      <c r="D41" s="43">
        <f t="shared" si="27"/>
        <v>91.949999999999989</v>
      </c>
      <c r="E41" s="44">
        <f t="shared" si="28"/>
        <v>1.7355999999999998</v>
      </c>
      <c r="F41" s="42"/>
      <c r="G41" s="43">
        <f>125</f>
        <v>125</v>
      </c>
      <c r="H41" s="43">
        <f t="shared" si="29"/>
        <v>-125</v>
      </c>
      <c r="I41" s="44">
        <f t="shared" si="30"/>
        <v>0</v>
      </c>
      <c r="J41" s="42"/>
      <c r="K41" s="43">
        <f>125</f>
        <v>125</v>
      </c>
      <c r="L41" s="43">
        <f t="shared" si="31"/>
        <v>-125</v>
      </c>
      <c r="M41" s="44">
        <f t="shared" si="32"/>
        <v>0</v>
      </c>
      <c r="N41" s="42"/>
      <c r="O41" s="43">
        <f>125</f>
        <v>125</v>
      </c>
      <c r="P41" s="43">
        <f t="shared" si="33"/>
        <v>-125</v>
      </c>
      <c r="Q41" s="44">
        <f t="shared" si="34"/>
        <v>0</v>
      </c>
      <c r="R41" s="42"/>
      <c r="S41" s="43">
        <f>125</f>
        <v>125</v>
      </c>
      <c r="T41" s="43">
        <f t="shared" si="35"/>
        <v>-125</v>
      </c>
      <c r="U41" s="44">
        <f t="shared" si="36"/>
        <v>0</v>
      </c>
      <c r="V41" s="42"/>
      <c r="W41" s="43">
        <f>125</f>
        <v>125</v>
      </c>
      <c r="X41" s="43">
        <f t="shared" si="37"/>
        <v>-125</v>
      </c>
      <c r="Y41" s="44">
        <f t="shared" si="38"/>
        <v>0</v>
      </c>
      <c r="Z41" s="42"/>
      <c r="AA41" s="43">
        <f>125</f>
        <v>125</v>
      </c>
      <c r="AB41" s="43">
        <f t="shared" si="39"/>
        <v>-125</v>
      </c>
      <c r="AC41" s="44">
        <f t="shared" si="40"/>
        <v>0</v>
      </c>
      <c r="AD41" s="43">
        <f>137.58</f>
        <v>137.58000000000001</v>
      </c>
      <c r="AE41" s="43">
        <f>125</f>
        <v>125</v>
      </c>
      <c r="AF41" s="43">
        <f t="shared" si="41"/>
        <v>12.580000000000013</v>
      </c>
      <c r="AG41" s="44">
        <f t="shared" si="42"/>
        <v>1.1006400000000001</v>
      </c>
      <c r="AH41" s="43">
        <f>467.13</f>
        <v>467.13</v>
      </c>
      <c r="AI41" s="43">
        <f>125</f>
        <v>125</v>
      </c>
      <c r="AJ41" s="43">
        <f t="shared" si="43"/>
        <v>342.13</v>
      </c>
      <c r="AK41" s="44">
        <f t="shared" si="44"/>
        <v>3.7370399999999999</v>
      </c>
      <c r="AL41" s="42"/>
      <c r="AM41" s="43">
        <f>125</f>
        <v>125</v>
      </c>
      <c r="AN41" s="43">
        <f t="shared" si="45"/>
        <v>-125</v>
      </c>
      <c r="AO41" s="44">
        <f t="shared" si="46"/>
        <v>0</v>
      </c>
      <c r="AP41" s="42"/>
      <c r="AQ41" s="43">
        <f>125</f>
        <v>125</v>
      </c>
      <c r="AR41" s="43">
        <f t="shared" si="47"/>
        <v>-125</v>
      </c>
      <c r="AS41" s="44">
        <f t="shared" si="48"/>
        <v>0</v>
      </c>
      <c r="AT41" s="42"/>
      <c r="AU41" s="43">
        <f>125</f>
        <v>125</v>
      </c>
      <c r="AV41" s="43">
        <f t="shared" si="49"/>
        <v>-125</v>
      </c>
      <c r="AW41" s="44">
        <f t="shared" si="50"/>
        <v>0</v>
      </c>
      <c r="AX41" s="43">
        <f t="shared" si="51"/>
        <v>821.66</v>
      </c>
      <c r="AY41" s="43">
        <f t="shared" si="51"/>
        <v>1500</v>
      </c>
      <c r="AZ41" s="43">
        <f t="shared" si="52"/>
        <v>-678.34</v>
      </c>
      <c r="BA41" s="44">
        <f t="shared" si="53"/>
        <v>0.54777333333333333</v>
      </c>
    </row>
    <row r="42" spans="1:53" x14ac:dyDescent="0.3">
      <c r="A42" s="41" t="s">
        <v>150</v>
      </c>
      <c r="B42" s="43">
        <f>293.93</f>
        <v>293.93</v>
      </c>
      <c r="C42" s="43">
        <f>333.33</f>
        <v>333.33</v>
      </c>
      <c r="D42" s="43">
        <f t="shared" si="27"/>
        <v>-39.399999999999977</v>
      </c>
      <c r="E42" s="44">
        <f t="shared" si="28"/>
        <v>0.88179881798817994</v>
      </c>
      <c r="F42" s="43">
        <f>314.88</f>
        <v>314.88</v>
      </c>
      <c r="G42" s="43">
        <f>333.33</f>
        <v>333.33</v>
      </c>
      <c r="H42" s="43">
        <f t="shared" si="29"/>
        <v>-18.449999999999989</v>
      </c>
      <c r="I42" s="44">
        <f t="shared" si="30"/>
        <v>0.94464944649446503</v>
      </c>
      <c r="J42" s="43">
        <f>215.16</f>
        <v>215.16</v>
      </c>
      <c r="K42" s="43">
        <f>333.33</f>
        <v>333.33</v>
      </c>
      <c r="L42" s="43">
        <f t="shared" si="31"/>
        <v>-118.16999999999999</v>
      </c>
      <c r="M42" s="44">
        <f t="shared" si="32"/>
        <v>0.6454864548645487</v>
      </c>
      <c r="N42" s="43">
        <f>290.13</f>
        <v>290.13</v>
      </c>
      <c r="O42" s="43">
        <f>333.33</f>
        <v>333.33</v>
      </c>
      <c r="P42" s="43">
        <f t="shared" si="33"/>
        <v>-43.199999999999989</v>
      </c>
      <c r="Q42" s="44">
        <f t="shared" si="34"/>
        <v>0.87039870398703989</v>
      </c>
      <c r="R42" s="43">
        <f>405.59</f>
        <v>405.59</v>
      </c>
      <c r="S42" s="43">
        <f>333.33</f>
        <v>333.33</v>
      </c>
      <c r="T42" s="43">
        <f t="shared" si="35"/>
        <v>72.259999999999991</v>
      </c>
      <c r="U42" s="44">
        <f t="shared" si="36"/>
        <v>1.2167821678216781</v>
      </c>
      <c r="V42" s="43">
        <f>214.4</f>
        <v>214.4</v>
      </c>
      <c r="W42" s="43">
        <f>333.33</f>
        <v>333.33</v>
      </c>
      <c r="X42" s="43">
        <f t="shared" si="37"/>
        <v>-118.92999999999998</v>
      </c>
      <c r="Y42" s="44">
        <f t="shared" si="38"/>
        <v>0.64320643206432071</v>
      </c>
      <c r="Z42" s="43">
        <f>242.89</f>
        <v>242.89</v>
      </c>
      <c r="AA42" s="43">
        <f>333.33</f>
        <v>333.33</v>
      </c>
      <c r="AB42" s="43">
        <f t="shared" si="39"/>
        <v>-90.44</v>
      </c>
      <c r="AC42" s="44">
        <f t="shared" si="40"/>
        <v>0.72867728677286769</v>
      </c>
      <c r="AD42" s="43">
        <f>329.86</f>
        <v>329.86</v>
      </c>
      <c r="AE42" s="43">
        <f>333.33</f>
        <v>333.33</v>
      </c>
      <c r="AF42" s="43">
        <f t="shared" si="41"/>
        <v>-3.4699999999999704</v>
      </c>
      <c r="AG42" s="44">
        <f t="shared" si="42"/>
        <v>0.98958989589895907</v>
      </c>
      <c r="AH42" s="43">
        <f>595.82</f>
        <v>595.82000000000005</v>
      </c>
      <c r="AI42" s="43">
        <f>333.33</f>
        <v>333.33</v>
      </c>
      <c r="AJ42" s="43">
        <f t="shared" si="43"/>
        <v>262.49000000000007</v>
      </c>
      <c r="AK42" s="44">
        <f t="shared" si="44"/>
        <v>1.7874778747787481</v>
      </c>
      <c r="AL42" s="42"/>
      <c r="AM42" s="43">
        <f>333.33</f>
        <v>333.33</v>
      </c>
      <c r="AN42" s="43">
        <f t="shared" si="45"/>
        <v>-333.33</v>
      </c>
      <c r="AO42" s="44">
        <f t="shared" si="46"/>
        <v>0</v>
      </c>
      <c r="AP42" s="42"/>
      <c r="AQ42" s="43">
        <f>333.33</f>
        <v>333.33</v>
      </c>
      <c r="AR42" s="43">
        <f t="shared" si="47"/>
        <v>-333.33</v>
      </c>
      <c r="AS42" s="44">
        <f t="shared" si="48"/>
        <v>0</v>
      </c>
      <c r="AT42" s="42"/>
      <c r="AU42" s="43">
        <f>333.37</f>
        <v>333.37</v>
      </c>
      <c r="AV42" s="43">
        <f t="shared" si="49"/>
        <v>-333.37</v>
      </c>
      <c r="AW42" s="44">
        <f t="shared" si="50"/>
        <v>0</v>
      </c>
      <c r="AX42" s="43">
        <f t="shared" si="51"/>
        <v>2902.6600000000003</v>
      </c>
      <c r="AY42" s="43">
        <f t="shared" si="51"/>
        <v>3999.9999999999995</v>
      </c>
      <c r="AZ42" s="43">
        <f t="shared" si="52"/>
        <v>-1097.3399999999992</v>
      </c>
      <c r="BA42" s="44">
        <f t="shared" si="53"/>
        <v>0.72566500000000012</v>
      </c>
    </row>
    <row r="43" spans="1:53" x14ac:dyDescent="0.3">
      <c r="A43" s="41" t="s">
        <v>151</v>
      </c>
      <c r="B43" s="43">
        <f>139.43</f>
        <v>139.43</v>
      </c>
      <c r="C43" s="43">
        <f>125</f>
        <v>125</v>
      </c>
      <c r="D43" s="43">
        <f t="shared" si="27"/>
        <v>14.430000000000007</v>
      </c>
      <c r="E43" s="44">
        <f t="shared" si="28"/>
        <v>1.11544</v>
      </c>
      <c r="F43" s="42"/>
      <c r="G43" s="43">
        <f>125</f>
        <v>125</v>
      </c>
      <c r="H43" s="43">
        <f t="shared" si="29"/>
        <v>-125</v>
      </c>
      <c r="I43" s="44">
        <f t="shared" si="30"/>
        <v>0</v>
      </c>
      <c r="J43" s="42"/>
      <c r="K43" s="43">
        <f>125</f>
        <v>125</v>
      </c>
      <c r="L43" s="43">
        <f t="shared" si="31"/>
        <v>-125</v>
      </c>
      <c r="M43" s="44">
        <f t="shared" si="32"/>
        <v>0</v>
      </c>
      <c r="N43" s="43">
        <f>675.69</f>
        <v>675.69</v>
      </c>
      <c r="O43" s="43">
        <f>125</f>
        <v>125</v>
      </c>
      <c r="P43" s="43">
        <f t="shared" si="33"/>
        <v>550.69000000000005</v>
      </c>
      <c r="Q43" s="44">
        <f t="shared" si="34"/>
        <v>5.4055200000000001</v>
      </c>
      <c r="R43" s="43">
        <f>5.24</f>
        <v>5.24</v>
      </c>
      <c r="S43" s="43">
        <f>125</f>
        <v>125</v>
      </c>
      <c r="T43" s="43">
        <f t="shared" si="35"/>
        <v>-119.76</v>
      </c>
      <c r="U43" s="44">
        <f t="shared" si="36"/>
        <v>4.1919999999999999E-2</v>
      </c>
      <c r="V43" s="42"/>
      <c r="W43" s="43">
        <f>125</f>
        <v>125</v>
      </c>
      <c r="X43" s="43">
        <f t="shared" si="37"/>
        <v>-125</v>
      </c>
      <c r="Y43" s="44">
        <f t="shared" si="38"/>
        <v>0</v>
      </c>
      <c r="Z43" s="42"/>
      <c r="AA43" s="43">
        <f>125</f>
        <v>125</v>
      </c>
      <c r="AB43" s="43">
        <f t="shared" si="39"/>
        <v>-125</v>
      </c>
      <c r="AC43" s="44">
        <f t="shared" si="40"/>
        <v>0</v>
      </c>
      <c r="AD43" s="43">
        <f>107.96</f>
        <v>107.96</v>
      </c>
      <c r="AE43" s="43">
        <f>125</f>
        <v>125</v>
      </c>
      <c r="AF43" s="43">
        <f t="shared" si="41"/>
        <v>-17.040000000000006</v>
      </c>
      <c r="AG43" s="44">
        <f t="shared" si="42"/>
        <v>0.86368</v>
      </c>
      <c r="AH43" s="43">
        <f>336.62</f>
        <v>336.62</v>
      </c>
      <c r="AI43" s="43">
        <f>125</f>
        <v>125</v>
      </c>
      <c r="AJ43" s="43">
        <f t="shared" si="43"/>
        <v>211.62</v>
      </c>
      <c r="AK43" s="44">
        <f t="shared" si="44"/>
        <v>2.6929600000000002</v>
      </c>
      <c r="AL43" s="42"/>
      <c r="AM43" s="43">
        <f>125</f>
        <v>125</v>
      </c>
      <c r="AN43" s="43">
        <f t="shared" si="45"/>
        <v>-125</v>
      </c>
      <c r="AO43" s="44">
        <f t="shared" si="46"/>
        <v>0</v>
      </c>
      <c r="AP43" s="42"/>
      <c r="AQ43" s="43">
        <f>125</f>
        <v>125</v>
      </c>
      <c r="AR43" s="43">
        <f t="shared" si="47"/>
        <v>-125</v>
      </c>
      <c r="AS43" s="44">
        <f t="shared" si="48"/>
        <v>0</v>
      </c>
      <c r="AT43" s="42"/>
      <c r="AU43" s="43">
        <f>125</f>
        <v>125</v>
      </c>
      <c r="AV43" s="43">
        <f t="shared" si="49"/>
        <v>-125</v>
      </c>
      <c r="AW43" s="44">
        <f t="shared" si="50"/>
        <v>0</v>
      </c>
      <c r="AX43" s="43">
        <f t="shared" si="51"/>
        <v>1264.94</v>
      </c>
      <c r="AY43" s="43">
        <f t="shared" si="51"/>
        <v>1500</v>
      </c>
      <c r="AZ43" s="43">
        <f t="shared" si="52"/>
        <v>-235.05999999999995</v>
      </c>
      <c r="BA43" s="44">
        <f t="shared" si="53"/>
        <v>0.84329333333333334</v>
      </c>
    </row>
    <row r="44" spans="1:53" x14ac:dyDescent="0.3">
      <c r="A44" s="41" t="s">
        <v>152</v>
      </c>
      <c r="B44" s="45">
        <f>((((B39)+(B40))+(B41))+(B42))+(B43)</f>
        <v>1013.72</v>
      </c>
      <c r="C44" s="45">
        <f>((((C39)+(C40))+(C41))+(C42))+(C43)</f>
        <v>1000</v>
      </c>
      <c r="D44" s="45">
        <f t="shared" si="27"/>
        <v>13.720000000000027</v>
      </c>
      <c r="E44" s="46">
        <f t="shared" si="28"/>
        <v>1.01372</v>
      </c>
      <c r="F44" s="45">
        <f>((((F39)+(F40))+(F41))+(F42))+(F43)</f>
        <v>845.77</v>
      </c>
      <c r="G44" s="45">
        <f>((((G39)+(G40))+(G41))+(G42))+(G43)</f>
        <v>1000</v>
      </c>
      <c r="H44" s="45">
        <f t="shared" si="29"/>
        <v>-154.23000000000002</v>
      </c>
      <c r="I44" s="46">
        <f t="shared" si="30"/>
        <v>0.84577000000000002</v>
      </c>
      <c r="J44" s="45">
        <f>((((J39)+(J40))+(J41))+(J42))+(J43)</f>
        <v>447.11</v>
      </c>
      <c r="K44" s="45">
        <f>((((K39)+(K40))+(K41))+(K42))+(K43)</f>
        <v>1000</v>
      </c>
      <c r="L44" s="45">
        <f t="shared" si="31"/>
        <v>-552.89</v>
      </c>
      <c r="M44" s="46">
        <f t="shared" si="32"/>
        <v>0.44711000000000001</v>
      </c>
      <c r="N44" s="45">
        <f>((((N39)+(N40))+(N41))+(N42))+(N43)</f>
        <v>1325.13</v>
      </c>
      <c r="O44" s="45">
        <f>((((O39)+(O40))+(O41))+(O42))+(O43)</f>
        <v>1000</v>
      </c>
      <c r="P44" s="45">
        <f t="shared" si="33"/>
        <v>325.13000000000011</v>
      </c>
      <c r="Q44" s="46">
        <f t="shared" si="34"/>
        <v>1.3251300000000001</v>
      </c>
      <c r="R44" s="45">
        <f>((((R39)+(R40))+(R41))+(R42))+(R43)</f>
        <v>797</v>
      </c>
      <c r="S44" s="45">
        <f>((((S39)+(S40))+(S41))+(S42))+(S43)</f>
        <v>1000</v>
      </c>
      <c r="T44" s="45">
        <f t="shared" si="35"/>
        <v>-203</v>
      </c>
      <c r="U44" s="46">
        <f t="shared" si="36"/>
        <v>0.79700000000000004</v>
      </c>
      <c r="V44" s="45">
        <f>((((V39)+(V40))+(V41))+(V42))+(V43)</f>
        <v>714.3</v>
      </c>
      <c r="W44" s="45">
        <f>((((W39)+(W40))+(W41))+(W42))+(W43)</f>
        <v>1000</v>
      </c>
      <c r="X44" s="45">
        <f t="shared" si="37"/>
        <v>-285.70000000000005</v>
      </c>
      <c r="Y44" s="46">
        <f t="shared" si="38"/>
        <v>0.71429999999999993</v>
      </c>
      <c r="Z44" s="45">
        <f>((((Z39)+(Z40))+(Z41))+(Z42))+(Z43)</f>
        <v>587.80999999999995</v>
      </c>
      <c r="AA44" s="45">
        <f>((((AA39)+(AA40))+(AA41))+(AA42))+(AA43)</f>
        <v>1000</v>
      </c>
      <c r="AB44" s="45">
        <f t="shared" si="39"/>
        <v>-412.19000000000005</v>
      </c>
      <c r="AC44" s="46">
        <f t="shared" si="40"/>
        <v>0.58780999999999994</v>
      </c>
      <c r="AD44" s="45">
        <f>((((AD39)+(AD40))+(AD41))+(AD42))+(AD43)</f>
        <v>928.32</v>
      </c>
      <c r="AE44" s="45">
        <f>((((AE39)+(AE40))+(AE41))+(AE42))+(AE43)</f>
        <v>1000</v>
      </c>
      <c r="AF44" s="45">
        <f t="shared" si="41"/>
        <v>-71.67999999999995</v>
      </c>
      <c r="AG44" s="46">
        <f t="shared" si="42"/>
        <v>0.92832000000000003</v>
      </c>
      <c r="AH44" s="45">
        <f>((((AH39)+(AH40))+(AH41))+(AH42))+(AH43)</f>
        <v>1799.2199999999998</v>
      </c>
      <c r="AI44" s="45">
        <f>((((AI39)+(AI40))+(AI41))+(AI42))+(AI43)</f>
        <v>1000</v>
      </c>
      <c r="AJ44" s="45">
        <f t="shared" si="43"/>
        <v>799.2199999999998</v>
      </c>
      <c r="AK44" s="46">
        <f t="shared" si="44"/>
        <v>1.7992199999999998</v>
      </c>
      <c r="AL44" s="45">
        <f>((((AL39)+(AL40))+(AL41))+(AL42))+(AL43)</f>
        <v>0</v>
      </c>
      <c r="AM44" s="45">
        <f>((((AM39)+(AM40))+(AM41))+(AM42))+(AM43)</f>
        <v>1000</v>
      </c>
      <c r="AN44" s="45">
        <f t="shared" si="45"/>
        <v>-1000</v>
      </c>
      <c r="AO44" s="46">
        <f t="shared" si="46"/>
        <v>0</v>
      </c>
      <c r="AP44" s="45">
        <f>((((AP39)+(AP40))+(AP41))+(AP42))+(AP43)</f>
        <v>0</v>
      </c>
      <c r="AQ44" s="45">
        <f>((((AQ39)+(AQ40))+(AQ41))+(AQ42))+(AQ43)</f>
        <v>1000</v>
      </c>
      <c r="AR44" s="45">
        <f t="shared" si="47"/>
        <v>-1000</v>
      </c>
      <c r="AS44" s="46">
        <f t="shared" si="48"/>
        <v>0</v>
      </c>
      <c r="AT44" s="45">
        <f>((((AT39)+(AT40))+(AT41))+(AT42))+(AT43)</f>
        <v>0</v>
      </c>
      <c r="AU44" s="45">
        <f>((((AU39)+(AU40))+(AU41))+(AU42))+(AU43)</f>
        <v>1000</v>
      </c>
      <c r="AV44" s="45">
        <f t="shared" si="49"/>
        <v>-1000</v>
      </c>
      <c r="AW44" s="46">
        <f t="shared" si="50"/>
        <v>0</v>
      </c>
      <c r="AX44" s="45">
        <f t="shared" si="51"/>
        <v>8458.3799999999992</v>
      </c>
      <c r="AY44" s="45">
        <f t="shared" si="51"/>
        <v>12000</v>
      </c>
      <c r="AZ44" s="45">
        <f t="shared" si="52"/>
        <v>-3541.6200000000008</v>
      </c>
      <c r="BA44" s="46">
        <f t="shared" si="53"/>
        <v>0.70486499999999996</v>
      </c>
    </row>
    <row r="45" spans="1:53" x14ac:dyDescent="0.3">
      <c r="A45" s="41" t="s">
        <v>153</v>
      </c>
      <c r="B45" s="42"/>
      <c r="C45" s="42"/>
      <c r="D45" s="43">
        <f t="shared" si="27"/>
        <v>0</v>
      </c>
      <c r="E45" s="44" t="str">
        <f t="shared" si="28"/>
        <v/>
      </c>
      <c r="F45" s="42"/>
      <c r="G45" s="42"/>
      <c r="H45" s="43">
        <f t="shared" si="29"/>
        <v>0</v>
      </c>
      <c r="I45" s="44" t="str">
        <f t="shared" si="30"/>
        <v/>
      </c>
      <c r="J45" s="42"/>
      <c r="K45" s="42"/>
      <c r="L45" s="43">
        <f t="shared" si="31"/>
        <v>0</v>
      </c>
      <c r="M45" s="44" t="str">
        <f t="shared" si="32"/>
        <v/>
      </c>
      <c r="N45" s="42"/>
      <c r="O45" s="42"/>
      <c r="P45" s="43">
        <f t="shared" si="33"/>
        <v>0</v>
      </c>
      <c r="Q45" s="44" t="str">
        <f t="shared" si="34"/>
        <v/>
      </c>
      <c r="R45" s="42"/>
      <c r="S45" s="42"/>
      <c r="T45" s="43">
        <f t="shared" si="35"/>
        <v>0</v>
      </c>
      <c r="U45" s="44" t="str">
        <f t="shared" si="36"/>
        <v/>
      </c>
      <c r="V45" s="42"/>
      <c r="W45" s="42"/>
      <c r="X45" s="43">
        <f t="shared" si="37"/>
        <v>0</v>
      </c>
      <c r="Y45" s="44" t="str">
        <f t="shared" si="38"/>
        <v/>
      </c>
      <c r="Z45" s="42"/>
      <c r="AA45" s="42"/>
      <c r="AB45" s="43">
        <f t="shared" si="39"/>
        <v>0</v>
      </c>
      <c r="AC45" s="44" t="str">
        <f t="shared" si="40"/>
        <v/>
      </c>
      <c r="AD45" s="42"/>
      <c r="AE45" s="42"/>
      <c r="AF45" s="43">
        <f t="shared" si="41"/>
        <v>0</v>
      </c>
      <c r="AG45" s="44" t="str">
        <f t="shared" si="42"/>
        <v/>
      </c>
      <c r="AH45" s="42"/>
      <c r="AI45" s="42"/>
      <c r="AJ45" s="43">
        <f t="shared" si="43"/>
        <v>0</v>
      </c>
      <c r="AK45" s="44" t="str">
        <f t="shared" si="44"/>
        <v/>
      </c>
      <c r="AL45" s="42"/>
      <c r="AM45" s="42"/>
      <c r="AN45" s="43">
        <f t="shared" si="45"/>
        <v>0</v>
      </c>
      <c r="AO45" s="44" t="str">
        <f t="shared" si="46"/>
        <v/>
      </c>
      <c r="AP45" s="42"/>
      <c r="AQ45" s="42"/>
      <c r="AR45" s="43">
        <f t="shared" si="47"/>
        <v>0</v>
      </c>
      <c r="AS45" s="44" t="str">
        <f t="shared" si="48"/>
        <v/>
      </c>
      <c r="AT45" s="42"/>
      <c r="AU45" s="42"/>
      <c r="AV45" s="43">
        <f t="shared" si="49"/>
        <v>0</v>
      </c>
      <c r="AW45" s="44" t="str">
        <f t="shared" si="50"/>
        <v/>
      </c>
      <c r="AX45" s="43">
        <f t="shared" si="51"/>
        <v>0</v>
      </c>
      <c r="AY45" s="43">
        <f t="shared" si="51"/>
        <v>0</v>
      </c>
      <c r="AZ45" s="43">
        <f t="shared" si="52"/>
        <v>0</v>
      </c>
      <c r="BA45" s="44" t="str">
        <f t="shared" si="53"/>
        <v/>
      </c>
    </row>
    <row r="46" spans="1:53" x14ac:dyDescent="0.3">
      <c r="A46" s="41" t="s">
        <v>154</v>
      </c>
      <c r="B46" s="43">
        <f>11000</f>
        <v>11000</v>
      </c>
      <c r="C46" s="43">
        <f>500</f>
        <v>500</v>
      </c>
      <c r="D46" s="43">
        <f t="shared" si="27"/>
        <v>10500</v>
      </c>
      <c r="E46" s="44">
        <f t="shared" si="28"/>
        <v>22</v>
      </c>
      <c r="F46" s="42"/>
      <c r="G46" s="43">
        <f>500</f>
        <v>500</v>
      </c>
      <c r="H46" s="43">
        <f t="shared" si="29"/>
        <v>-500</v>
      </c>
      <c r="I46" s="44">
        <f t="shared" si="30"/>
        <v>0</v>
      </c>
      <c r="J46" s="42"/>
      <c r="K46" s="43">
        <f>500</f>
        <v>500</v>
      </c>
      <c r="L46" s="43">
        <f t="shared" si="31"/>
        <v>-500</v>
      </c>
      <c r="M46" s="44">
        <f t="shared" si="32"/>
        <v>0</v>
      </c>
      <c r="N46" s="42"/>
      <c r="O46" s="43">
        <f>500</f>
        <v>500</v>
      </c>
      <c r="P46" s="43">
        <f t="shared" si="33"/>
        <v>-500</v>
      </c>
      <c r="Q46" s="44">
        <f t="shared" si="34"/>
        <v>0</v>
      </c>
      <c r="R46" s="42"/>
      <c r="S46" s="43">
        <f>500</f>
        <v>500</v>
      </c>
      <c r="T46" s="43">
        <f t="shared" si="35"/>
        <v>-500</v>
      </c>
      <c r="U46" s="44">
        <f t="shared" si="36"/>
        <v>0</v>
      </c>
      <c r="V46" s="42"/>
      <c r="W46" s="43">
        <f>500</f>
        <v>500</v>
      </c>
      <c r="X46" s="43">
        <f t="shared" si="37"/>
        <v>-500</v>
      </c>
      <c r="Y46" s="44">
        <f t="shared" si="38"/>
        <v>0</v>
      </c>
      <c r="Z46" s="42"/>
      <c r="AA46" s="43">
        <f>500</f>
        <v>500</v>
      </c>
      <c r="AB46" s="43">
        <f t="shared" si="39"/>
        <v>-500</v>
      </c>
      <c r="AC46" s="44">
        <f t="shared" si="40"/>
        <v>0</v>
      </c>
      <c r="AD46" s="42"/>
      <c r="AE46" s="43">
        <f>500</f>
        <v>500</v>
      </c>
      <c r="AF46" s="43">
        <f t="shared" si="41"/>
        <v>-500</v>
      </c>
      <c r="AG46" s="44">
        <f t="shared" si="42"/>
        <v>0</v>
      </c>
      <c r="AH46" s="42"/>
      <c r="AI46" s="43">
        <f>500</f>
        <v>500</v>
      </c>
      <c r="AJ46" s="43">
        <f t="shared" si="43"/>
        <v>-500</v>
      </c>
      <c r="AK46" s="44">
        <f t="shared" si="44"/>
        <v>0</v>
      </c>
      <c r="AL46" s="42"/>
      <c r="AM46" s="43">
        <f>500</f>
        <v>500</v>
      </c>
      <c r="AN46" s="43">
        <f t="shared" si="45"/>
        <v>-500</v>
      </c>
      <c r="AO46" s="44">
        <f t="shared" si="46"/>
        <v>0</v>
      </c>
      <c r="AP46" s="42"/>
      <c r="AQ46" s="43">
        <f>500</f>
        <v>500</v>
      </c>
      <c r="AR46" s="43">
        <f t="shared" si="47"/>
        <v>-500</v>
      </c>
      <c r="AS46" s="44">
        <f t="shared" si="48"/>
        <v>0</v>
      </c>
      <c r="AT46" s="42"/>
      <c r="AU46" s="43">
        <f>500</f>
        <v>500</v>
      </c>
      <c r="AV46" s="43">
        <f t="shared" si="49"/>
        <v>-500</v>
      </c>
      <c r="AW46" s="44">
        <f t="shared" si="50"/>
        <v>0</v>
      </c>
      <c r="AX46" s="43">
        <f t="shared" si="51"/>
        <v>11000</v>
      </c>
      <c r="AY46" s="43">
        <f t="shared" si="51"/>
        <v>6000</v>
      </c>
      <c r="AZ46" s="43">
        <f t="shared" si="52"/>
        <v>5000</v>
      </c>
      <c r="BA46" s="44">
        <f t="shared" si="53"/>
        <v>1.8333333333333333</v>
      </c>
    </row>
    <row r="47" spans="1:53" x14ac:dyDescent="0.3">
      <c r="A47" s="41" t="s">
        <v>155</v>
      </c>
      <c r="B47" s="45">
        <f>(B45)+(B46)</f>
        <v>11000</v>
      </c>
      <c r="C47" s="45">
        <f>(C45)+(C46)</f>
        <v>500</v>
      </c>
      <c r="D47" s="45">
        <f t="shared" si="27"/>
        <v>10500</v>
      </c>
      <c r="E47" s="46">
        <f t="shared" si="28"/>
        <v>22</v>
      </c>
      <c r="F47" s="45">
        <f>(F45)+(F46)</f>
        <v>0</v>
      </c>
      <c r="G47" s="45">
        <f>(G45)+(G46)</f>
        <v>500</v>
      </c>
      <c r="H47" s="45">
        <f t="shared" si="29"/>
        <v>-500</v>
      </c>
      <c r="I47" s="46">
        <f t="shared" si="30"/>
        <v>0</v>
      </c>
      <c r="J47" s="45">
        <f>(J45)+(J46)</f>
        <v>0</v>
      </c>
      <c r="K47" s="45">
        <f>(K45)+(K46)</f>
        <v>500</v>
      </c>
      <c r="L47" s="45">
        <f t="shared" si="31"/>
        <v>-500</v>
      </c>
      <c r="M47" s="46">
        <f t="shared" si="32"/>
        <v>0</v>
      </c>
      <c r="N47" s="45">
        <f>(N45)+(N46)</f>
        <v>0</v>
      </c>
      <c r="O47" s="45">
        <f>(O45)+(O46)</f>
        <v>500</v>
      </c>
      <c r="P47" s="45">
        <f t="shared" si="33"/>
        <v>-500</v>
      </c>
      <c r="Q47" s="46">
        <f t="shared" si="34"/>
        <v>0</v>
      </c>
      <c r="R47" s="45">
        <f>(R45)+(R46)</f>
        <v>0</v>
      </c>
      <c r="S47" s="45">
        <f>(S45)+(S46)</f>
        <v>500</v>
      </c>
      <c r="T47" s="45">
        <f t="shared" si="35"/>
        <v>-500</v>
      </c>
      <c r="U47" s="46">
        <f t="shared" si="36"/>
        <v>0</v>
      </c>
      <c r="V47" s="45">
        <f>(V45)+(V46)</f>
        <v>0</v>
      </c>
      <c r="W47" s="45">
        <f>(W45)+(W46)</f>
        <v>500</v>
      </c>
      <c r="X47" s="45">
        <f t="shared" si="37"/>
        <v>-500</v>
      </c>
      <c r="Y47" s="46">
        <f t="shared" si="38"/>
        <v>0</v>
      </c>
      <c r="Z47" s="45">
        <f>(Z45)+(Z46)</f>
        <v>0</v>
      </c>
      <c r="AA47" s="45">
        <f>(AA45)+(AA46)</f>
        <v>500</v>
      </c>
      <c r="AB47" s="45">
        <f t="shared" si="39"/>
        <v>-500</v>
      </c>
      <c r="AC47" s="46">
        <f t="shared" si="40"/>
        <v>0</v>
      </c>
      <c r="AD47" s="45">
        <f>(AD45)+(AD46)</f>
        <v>0</v>
      </c>
      <c r="AE47" s="45">
        <f>(AE45)+(AE46)</f>
        <v>500</v>
      </c>
      <c r="AF47" s="45">
        <f t="shared" si="41"/>
        <v>-500</v>
      </c>
      <c r="AG47" s="46">
        <f t="shared" si="42"/>
        <v>0</v>
      </c>
      <c r="AH47" s="45">
        <f>(AH45)+(AH46)</f>
        <v>0</v>
      </c>
      <c r="AI47" s="45">
        <f>(AI45)+(AI46)</f>
        <v>500</v>
      </c>
      <c r="AJ47" s="45">
        <f t="shared" si="43"/>
        <v>-500</v>
      </c>
      <c r="AK47" s="46">
        <f t="shared" si="44"/>
        <v>0</v>
      </c>
      <c r="AL47" s="45">
        <f>(AL45)+(AL46)</f>
        <v>0</v>
      </c>
      <c r="AM47" s="45">
        <f>(AM45)+(AM46)</f>
        <v>500</v>
      </c>
      <c r="AN47" s="45">
        <f t="shared" si="45"/>
        <v>-500</v>
      </c>
      <c r="AO47" s="46">
        <f t="shared" si="46"/>
        <v>0</v>
      </c>
      <c r="AP47" s="45">
        <f>(AP45)+(AP46)</f>
        <v>0</v>
      </c>
      <c r="AQ47" s="45">
        <f>(AQ45)+(AQ46)</f>
        <v>500</v>
      </c>
      <c r="AR47" s="45">
        <f t="shared" si="47"/>
        <v>-500</v>
      </c>
      <c r="AS47" s="46">
        <f t="shared" si="48"/>
        <v>0</v>
      </c>
      <c r="AT47" s="45">
        <f>(AT45)+(AT46)</f>
        <v>0</v>
      </c>
      <c r="AU47" s="45">
        <f>(AU45)+(AU46)</f>
        <v>500</v>
      </c>
      <c r="AV47" s="45">
        <f t="shared" si="49"/>
        <v>-500</v>
      </c>
      <c r="AW47" s="46">
        <f t="shared" si="50"/>
        <v>0</v>
      </c>
      <c r="AX47" s="45">
        <f t="shared" si="51"/>
        <v>11000</v>
      </c>
      <c r="AY47" s="45">
        <f t="shared" si="51"/>
        <v>6000</v>
      </c>
      <c r="AZ47" s="45">
        <f t="shared" si="52"/>
        <v>5000</v>
      </c>
      <c r="BA47" s="46">
        <f t="shared" si="53"/>
        <v>1.8333333333333333</v>
      </c>
    </row>
    <row r="48" spans="1:53" x14ac:dyDescent="0.3">
      <c r="A48" s="41" t="s">
        <v>156</v>
      </c>
      <c r="B48" s="42"/>
      <c r="C48" s="43">
        <f>1250</f>
        <v>1250</v>
      </c>
      <c r="D48" s="43">
        <f t="shared" si="27"/>
        <v>-1250</v>
      </c>
      <c r="E48" s="44">
        <f t="shared" si="28"/>
        <v>0</v>
      </c>
      <c r="F48" s="42"/>
      <c r="G48" s="43">
        <f>1250</f>
        <v>1250</v>
      </c>
      <c r="H48" s="43">
        <f t="shared" si="29"/>
        <v>-1250</v>
      </c>
      <c r="I48" s="44">
        <f t="shared" si="30"/>
        <v>0</v>
      </c>
      <c r="J48" s="43">
        <f>517.5</f>
        <v>517.5</v>
      </c>
      <c r="K48" s="43">
        <f>1250</f>
        <v>1250</v>
      </c>
      <c r="L48" s="43">
        <f t="shared" si="31"/>
        <v>-732.5</v>
      </c>
      <c r="M48" s="44">
        <f t="shared" si="32"/>
        <v>0.41399999999999998</v>
      </c>
      <c r="N48" s="43">
        <f>1835.76</f>
        <v>1835.76</v>
      </c>
      <c r="O48" s="43">
        <f>1250</f>
        <v>1250</v>
      </c>
      <c r="P48" s="43">
        <f t="shared" si="33"/>
        <v>585.76</v>
      </c>
      <c r="Q48" s="44">
        <f t="shared" si="34"/>
        <v>1.4686079999999999</v>
      </c>
      <c r="R48" s="43">
        <f>2840</f>
        <v>2840</v>
      </c>
      <c r="S48" s="43">
        <f>1250</f>
        <v>1250</v>
      </c>
      <c r="T48" s="43">
        <f t="shared" si="35"/>
        <v>1590</v>
      </c>
      <c r="U48" s="44">
        <f t="shared" si="36"/>
        <v>2.2719999999999998</v>
      </c>
      <c r="V48" s="42"/>
      <c r="W48" s="43">
        <f>1250</f>
        <v>1250</v>
      </c>
      <c r="X48" s="43">
        <f t="shared" si="37"/>
        <v>-1250</v>
      </c>
      <c r="Y48" s="44">
        <f t="shared" si="38"/>
        <v>0</v>
      </c>
      <c r="Z48" s="42"/>
      <c r="AA48" s="43">
        <f>1250</f>
        <v>1250</v>
      </c>
      <c r="AB48" s="43">
        <f t="shared" si="39"/>
        <v>-1250</v>
      </c>
      <c r="AC48" s="44">
        <f t="shared" si="40"/>
        <v>0</v>
      </c>
      <c r="AD48" s="42"/>
      <c r="AE48" s="43">
        <f>1250</f>
        <v>1250</v>
      </c>
      <c r="AF48" s="43">
        <f t="shared" si="41"/>
        <v>-1250</v>
      </c>
      <c r="AG48" s="44">
        <f t="shared" si="42"/>
        <v>0</v>
      </c>
      <c r="AH48" s="42"/>
      <c r="AI48" s="43">
        <f>1250</f>
        <v>1250</v>
      </c>
      <c r="AJ48" s="43">
        <f t="shared" si="43"/>
        <v>-1250</v>
      </c>
      <c r="AK48" s="44">
        <f t="shared" si="44"/>
        <v>0</v>
      </c>
      <c r="AL48" s="42"/>
      <c r="AM48" s="43">
        <f>1250</f>
        <v>1250</v>
      </c>
      <c r="AN48" s="43">
        <f t="shared" si="45"/>
        <v>-1250</v>
      </c>
      <c r="AO48" s="44">
        <f t="shared" si="46"/>
        <v>0</v>
      </c>
      <c r="AP48" s="42"/>
      <c r="AQ48" s="43">
        <f>1250</f>
        <v>1250</v>
      </c>
      <c r="AR48" s="43">
        <f t="shared" si="47"/>
        <v>-1250</v>
      </c>
      <c r="AS48" s="44">
        <f t="shared" si="48"/>
        <v>0</v>
      </c>
      <c r="AT48" s="42"/>
      <c r="AU48" s="43">
        <f>1250</f>
        <v>1250</v>
      </c>
      <c r="AV48" s="43">
        <f t="shared" si="49"/>
        <v>-1250</v>
      </c>
      <c r="AW48" s="44">
        <f t="shared" si="50"/>
        <v>0</v>
      </c>
      <c r="AX48" s="43">
        <f t="shared" si="51"/>
        <v>5193.26</v>
      </c>
      <c r="AY48" s="43">
        <f t="shared" si="51"/>
        <v>15000</v>
      </c>
      <c r="AZ48" s="43">
        <f t="shared" si="52"/>
        <v>-9806.74</v>
      </c>
      <c r="BA48" s="44">
        <f t="shared" si="53"/>
        <v>0.34621733333333332</v>
      </c>
    </row>
    <row r="49" spans="1:53" x14ac:dyDescent="0.3">
      <c r="A49" s="41" t="s">
        <v>157</v>
      </c>
      <c r="B49" s="42"/>
      <c r="C49" s="42"/>
      <c r="D49" s="43">
        <f t="shared" si="27"/>
        <v>0</v>
      </c>
      <c r="E49" s="44" t="str">
        <f t="shared" si="28"/>
        <v/>
      </c>
      <c r="F49" s="42"/>
      <c r="G49" s="42"/>
      <c r="H49" s="43">
        <f t="shared" si="29"/>
        <v>0</v>
      </c>
      <c r="I49" s="44" t="str">
        <f t="shared" si="30"/>
        <v/>
      </c>
      <c r="J49" s="42"/>
      <c r="K49" s="42"/>
      <c r="L49" s="43">
        <f t="shared" si="31"/>
        <v>0</v>
      </c>
      <c r="M49" s="44" t="str">
        <f t="shared" si="32"/>
        <v/>
      </c>
      <c r="N49" s="42"/>
      <c r="O49" s="42"/>
      <c r="P49" s="43">
        <f t="shared" si="33"/>
        <v>0</v>
      </c>
      <c r="Q49" s="44" t="str">
        <f t="shared" si="34"/>
        <v/>
      </c>
      <c r="R49" s="42"/>
      <c r="S49" s="42"/>
      <c r="T49" s="43">
        <f t="shared" si="35"/>
        <v>0</v>
      </c>
      <c r="U49" s="44" t="str">
        <f t="shared" si="36"/>
        <v/>
      </c>
      <c r="V49" s="42"/>
      <c r="W49" s="42"/>
      <c r="X49" s="43">
        <f t="shared" si="37"/>
        <v>0</v>
      </c>
      <c r="Y49" s="44" t="str">
        <f t="shared" si="38"/>
        <v/>
      </c>
      <c r="Z49" s="42"/>
      <c r="AA49" s="42"/>
      <c r="AB49" s="43">
        <f t="shared" si="39"/>
        <v>0</v>
      </c>
      <c r="AC49" s="44" t="str">
        <f t="shared" si="40"/>
        <v/>
      </c>
      <c r="AD49" s="42"/>
      <c r="AE49" s="42"/>
      <c r="AF49" s="43">
        <f t="shared" si="41"/>
        <v>0</v>
      </c>
      <c r="AG49" s="44" t="str">
        <f t="shared" si="42"/>
        <v/>
      </c>
      <c r="AH49" s="42"/>
      <c r="AI49" s="42"/>
      <c r="AJ49" s="43">
        <f t="shared" si="43"/>
        <v>0</v>
      </c>
      <c r="AK49" s="44" t="str">
        <f t="shared" si="44"/>
        <v/>
      </c>
      <c r="AL49" s="42"/>
      <c r="AM49" s="42"/>
      <c r="AN49" s="43">
        <f t="shared" si="45"/>
        <v>0</v>
      </c>
      <c r="AO49" s="44" t="str">
        <f t="shared" si="46"/>
        <v/>
      </c>
      <c r="AP49" s="42"/>
      <c r="AQ49" s="42"/>
      <c r="AR49" s="43">
        <f t="shared" si="47"/>
        <v>0</v>
      </c>
      <c r="AS49" s="44" t="str">
        <f t="shared" si="48"/>
        <v/>
      </c>
      <c r="AT49" s="42"/>
      <c r="AU49" s="42"/>
      <c r="AV49" s="43">
        <f t="shared" si="49"/>
        <v>0</v>
      </c>
      <c r="AW49" s="44" t="str">
        <f t="shared" si="50"/>
        <v/>
      </c>
      <c r="AX49" s="43">
        <f t="shared" si="51"/>
        <v>0</v>
      </c>
      <c r="AY49" s="43">
        <f t="shared" si="51"/>
        <v>0</v>
      </c>
      <c r="AZ49" s="43">
        <f t="shared" si="52"/>
        <v>0</v>
      </c>
      <c r="BA49" s="44" t="str">
        <f t="shared" si="53"/>
        <v/>
      </c>
    </row>
    <row r="50" spans="1:53" x14ac:dyDescent="0.3">
      <c r="A50" s="41" t="s">
        <v>158</v>
      </c>
      <c r="B50" s="43">
        <f>1318.49</f>
        <v>1318.49</v>
      </c>
      <c r="C50" s="43">
        <f>1083.33</f>
        <v>1083.33</v>
      </c>
      <c r="D50" s="43">
        <f t="shared" si="27"/>
        <v>235.16000000000008</v>
      </c>
      <c r="E50" s="44">
        <f t="shared" si="28"/>
        <v>1.2170714371428837</v>
      </c>
      <c r="F50" s="43">
        <f>1134.5</f>
        <v>1134.5</v>
      </c>
      <c r="G50" s="43">
        <f>1083.33</f>
        <v>1083.33</v>
      </c>
      <c r="H50" s="43">
        <f t="shared" si="29"/>
        <v>51.170000000000073</v>
      </c>
      <c r="I50" s="44">
        <f t="shared" si="30"/>
        <v>1.0472339914892046</v>
      </c>
      <c r="J50" s="43">
        <f>993.01</f>
        <v>993.01</v>
      </c>
      <c r="K50" s="43">
        <f>1083.33</f>
        <v>1083.33</v>
      </c>
      <c r="L50" s="43">
        <f t="shared" si="31"/>
        <v>-90.319999999999936</v>
      </c>
      <c r="M50" s="44">
        <f t="shared" si="32"/>
        <v>0.91662743577672556</v>
      </c>
      <c r="N50" s="43">
        <f>1299.19</f>
        <v>1299.19</v>
      </c>
      <c r="O50" s="43">
        <f>1083.33</f>
        <v>1083.33</v>
      </c>
      <c r="P50" s="43">
        <f t="shared" si="33"/>
        <v>215.86000000000013</v>
      </c>
      <c r="Q50" s="44">
        <f t="shared" si="34"/>
        <v>1.1992559977107624</v>
      </c>
      <c r="R50" s="43">
        <f>1490.51</f>
        <v>1490.51</v>
      </c>
      <c r="S50" s="43">
        <f>1083.33</f>
        <v>1083.33</v>
      </c>
      <c r="T50" s="43">
        <f t="shared" si="35"/>
        <v>407.18000000000006</v>
      </c>
      <c r="U50" s="44">
        <f t="shared" si="36"/>
        <v>1.3758596180295941</v>
      </c>
      <c r="V50" s="43">
        <f>1140.95</f>
        <v>1140.95</v>
      </c>
      <c r="W50" s="43">
        <f>1083.33</f>
        <v>1083.33</v>
      </c>
      <c r="X50" s="43">
        <f t="shared" si="37"/>
        <v>57.620000000000118</v>
      </c>
      <c r="Y50" s="44">
        <f t="shared" si="38"/>
        <v>1.0531878559626338</v>
      </c>
      <c r="Z50" s="43">
        <f>1199.34</f>
        <v>1199.3399999999999</v>
      </c>
      <c r="AA50" s="43">
        <f>1083.33</f>
        <v>1083.33</v>
      </c>
      <c r="AB50" s="43">
        <f t="shared" si="39"/>
        <v>116.00999999999999</v>
      </c>
      <c r="AC50" s="44">
        <f t="shared" si="40"/>
        <v>1.1070864833430256</v>
      </c>
      <c r="AD50" s="43">
        <f>962.08</f>
        <v>962.08</v>
      </c>
      <c r="AE50" s="43">
        <f>1083.33</f>
        <v>1083.33</v>
      </c>
      <c r="AF50" s="43">
        <f t="shared" si="41"/>
        <v>-121.24999999999989</v>
      </c>
      <c r="AG50" s="44">
        <f t="shared" si="42"/>
        <v>0.88807657869716528</v>
      </c>
      <c r="AH50" s="43">
        <f>1535.97</f>
        <v>1535.97</v>
      </c>
      <c r="AI50" s="43">
        <f>1083.33</f>
        <v>1083.33</v>
      </c>
      <c r="AJ50" s="43">
        <f t="shared" si="43"/>
        <v>452.6400000000001</v>
      </c>
      <c r="AK50" s="44">
        <f t="shared" si="44"/>
        <v>1.417822824070228</v>
      </c>
      <c r="AL50" s="42"/>
      <c r="AM50" s="43">
        <f>1083.33</f>
        <v>1083.33</v>
      </c>
      <c r="AN50" s="43">
        <f t="shared" si="45"/>
        <v>-1083.33</v>
      </c>
      <c r="AO50" s="44">
        <f t="shared" si="46"/>
        <v>0</v>
      </c>
      <c r="AP50" s="42"/>
      <c r="AQ50" s="43">
        <f>1083.33</f>
        <v>1083.33</v>
      </c>
      <c r="AR50" s="43">
        <f t="shared" si="47"/>
        <v>-1083.33</v>
      </c>
      <c r="AS50" s="44">
        <f t="shared" si="48"/>
        <v>0</v>
      </c>
      <c r="AT50" s="42"/>
      <c r="AU50" s="43">
        <f>1083.37</f>
        <v>1083.3699999999999</v>
      </c>
      <c r="AV50" s="43">
        <f t="shared" si="49"/>
        <v>-1083.3699999999999</v>
      </c>
      <c r="AW50" s="44">
        <f t="shared" si="50"/>
        <v>0</v>
      </c>
      <c r="AX50" s="43">
        <f t="shared" si="51"/>
        <v>11074.039999999999</v>
      </c>
      <c r="AY50" s="43">
        <f t="shared" si="51"/>
        <v>13000</v>
      </c>
      <c r="AZ50" s="43">
        <f t="shared" si="52"/>
        <v>-1925.9600000000009</v>
      </c>
      <c r="BA50" s="44">
        <f t="shared" si="53"/>
        <v>0.85184923076923069</v>
      </c>
    </row>
    <row r="51" spans="1:53" x14ac:dyDescent="0.3">
      <c r="A51" s="41" t="s">
        <v>159</v>
      </c>
      <c r="B51" s="43">
        <f>1800.4</f>
        <v>1800.4</v>
      </c>
      <c r="C51" s="43">
        <f>1333.33</f>
        <v>1333.33</v>
      </c>
      <c r="D51" s="43">
        <f t="shared" si="27"/>
        <v>467.07000000000016</v>
      </c>
      <c r="E51" s="44">
        <f t="shared" si="28"/>
        <v>1.3503033757584395</v>
      </c>
      <c r="F51" s="43">
        <f>1859.88</f>
        <v>1859.88</v>
      </c>
      <c r="G51" s="43">
        <f>1333.33</f>
        <v>1333.33</v>
      </c>
      <c r="H51" s="43">
        <f t="shared" si="29"/>
        <v>526.55000000000018</v>
      </c>
      <c r="I51" s="44">
        <f t="shared" si="30"/>
        <v>1.3949134872837183</v>
      </c>
      <c r="J51" s="43">
        <f>1739.44</f>
        <v>1739.44</v>
      </c>
      <c r="K51" s="43">
        <f>1333.33</f>
        <v>1333.33</v>
      </c>
      <c r="L51" s="43">
        <f t="shared" si="31"/>
        <v>406.11000000000013</v>
      </c>
      <c r="M51" s="44">
        <f t="shared" si="32"/>
        <v>1.3045832614581538</v>
      </c>
      <c r="N51" s="43">
        <f>1941.69</f>
        <v>1941.69</v>
      </c>
      <c r="O51" s="43">
        <f>1333.33</f>
        <v>1333.33</v>
      </c>
      <c r="P51" s="43">
        <f t="shared" si="33"/>
        <v>608.36000000000013</v>
      </c>
      <c r="Q51" s="44">
        <f t="shared" si="34"/>
        <v>1.4562711406778519</v>
      </c>
      <c r="R51" s="43">
        <f>1329.15</f>
        <v>1329.15</v>
      </c>
      <c r="S51" s="43">
        <f>1333.33</f>
        <v>1333.33</v>
      </c>
      <c r="T51" s="43">
        <f t="shared" si="35"/>
        <v>-4.1799999999998363</v>
      </c>
      <c r="U51" s="44">
        <f t="shared" si="36"/>
        <v>0.99686499216248048</v>
      </c>
      <c r="V51" s="43">
        <f>1967.05</f>
        <v>1967.05</v>
      </c>
      <c r="W51" s="43">
        <f>1333.33</f>
        <v>1333.33</v>
      </c>
      <c r="X51" s="43">
        <f t="shared" si="37"/>
        <v>633.72</v>
      </c>
      <c r="Y51" s="44">
        <f t="shared" si="38"/>
        <v>1.4752911882279707</v>
      </c>
      <c r="Z51" s="43">
        <f>389.32</f>
        <v>389.32</v>
      </c>
      <c r="AA51" s="43">
        <f>1333.33</f>
        <v>1333.33</v>
      </c>
      <c r="AB51" s="43">
        <f t="shared" si="39"/>
        <v>-944.01</v>
      </c>
      <c r="AC51" s="44">
        <f t="shared" si="40"/>
        <v>0.29199072997682496</v>
      </c>
      <c r="AD51" s="43">
        <f>1923.27</f>
        <v>1923.27</v>
      </c>
      <c r="AE51" s="43">
        <f>1333.33</f>
        <v>1333.33</v>
      </c>
      <c r="AF51" s="43">
        <f t="shared" si="41"/>
        <v>589.94000000000005</v>
      </c>
      <c r="AG51" s="44">
        <f t="shared" si="42"/>
        <v>1.4424561061402654</v>
      </c>
      <c r="AH51" s="43">
        <f>1476.08</f>
        <v>1476.08</v>
      </c>
      <c r="AI51" s="43">
        <f>1333.33</f>
        <v>1333.33</v>
      </c>
      <c r="AJ51" s="43">
        <f t="shared" si="43"/>
        <v>142.75</v>
      </c>
      <c r="AK51" s="44">
        <f t="shared" si="44"/>
        <v>1.1070627676569191</v>
      </c>
      <c r="AL51" s="42"/>
      <c r="AM51" s="43">
        <f>1333.33</f>
        <v>1333.33</v>
      </c>
      <c r="AN51" s="43">
        <f t="shared" si="45"/>
        <v>-1333.33</v>
      </c>
      <c r="AO51" s="44">
        <f t="shared" si="46"/>
        <v>0</v>
      </c>
      <c r="AP51" s="42"/>
      <c r="AQ51" s="43">
        <f>1333.33</f>
        <v>1333.33</v>
      </c>
      <c r="AR51" s="43">
        <f t="shared" si="47"/>
        <v>-1333.33</v>
      </c>
      <c r="AS51" s="44">
        <f t="shared" si="48"/>
        <v>0</v>
      </c>
      <c r="AT51" s="42"/>
      <c r="AU51" s="43">
        <f>1333.37</f>
        <v>1333.37</v>
      </c>
      <c r="AV51" s="43">
        <f t="shared" si="49"/>
        <v>-1333.37</v>
      </c>
      <c r="AW51" s="44">
        <f t="shared" si="50"/>
        <v>0</v>
      </c>
      <c r="AX51" s="43">
        <f t="shared" si="51"/>
        <v>14426.279999999999</v>
      </c>
      <c r="AY51" s="43">
        <f t="shared" si="51"/>
        <v>16000</v>
      </c>
      <c r="AZ51" s="43">
        <f t="shared" si="52"/>
        <v>-1573.7200000000012</v>
      </c>
      <c r="BA51" s="44">
        <f t="shared" si="53"/>
        <v>0.9016424999999999</v>
      </c>
    </row>
    <row r="52" spans="1:53" x14ac:dyDescent="0.3">
      <c r="A52" s="41" t="s">
        <v>160</v>
      </c>
      <c r="B52" s="43">
        <f>45</f>
        <v>45</v>
      </c>
      <c r="C52" s="43">
        <f>375</f>
        <v>375</v>
      </c>
      <c r="D52" s="43">
        <f t="shared" si="27"/>
        <v>-330</v>
      </c>
      <c r="E52" s="44">
        <f t="shared" si="28"/>
        <v>0.12</v>
      </c>
      <c r="F52" s="42"/>
      <c r="G52" s="43">
        <f>375</f>
        <v>375</v>
      </c>
      <c r="H52" s="43">
        <f t="shared" si="29"/>
        <v>-375</v>
      </c>
      <c r="I52" s="44">
        <f t="shared" si="30"/>
        <v>0</v>
      </c>
      <c r="J52" s="43">
        <f>835.98</f>
        <v>835.98</v>
      </c>
      <c r="K52" s="43">
        <f>375</f>
        <v>375</v>
      </c>
      <c r="L52" s="43">
        <f t="shared" si="31"/>
        <v>460.98</v>
      </c>
      <c r="M52" s="44">
        <f t="shared" si="32"/>
        <v>2.2292800000000002</v>
      </c>
      <c r="N52" s="42"/>
      <c r="O52" s="43">
        <f>375</f>
        <v>375</v>
      </c>
      <c r="P52" s="43">
        <f t="shared" si="33"/>
        <v>-375</v>
      </c>
      <c r="Q52" s="44">
        <f t="shared" si="34"/>
        <v>0</v>
      </c>
      <c r="R52" s="42"/>
      <c r="S52" s="43">
        <f>375</f>
        <v>375</v>
      </c>
      <c r="T52" s="43">
        <f t="shared" si="35"/>
        <v>-375</v>
      </c>
      <c r="U52" s="44">
        <f t="shared" si="36"/>
        <v>0</v>
      </c>
      <c r="V52" s="43">
        <f>1887.33</f>
        <v>1887.33</v>
      </c>
      <c r="W52" s="43">
        <f>375</f>
        <v>375</v>
      </c>
      <c r="X52" s="43">
        <f t="shared" si="37"/>
        <v>1512.33</v>
      </c>
      <c r="Y52" s="44">
        <f t="shared" si="38"/>
        <v>5.0328799999999996</v>
      </c>
      <c r="Z52" s="42"/>
      <c r="AA52" s="43">
        <f>375</f>
        <v>375</v>
      </c>
      <c r="AB52" s="43">
        <f t="shared" si="39"/>
        <v>-375</v>
      </c>
      <c r="AC52" s="44">
        <f t="shared" si="40"/>
        <v>0</v>
      </c>
      <c r="AD52" s="43">
        <f>1460.95</f>
        <v>1460.95</v>
      </c>
      <c r="AE52" s="43">
        <f>375</f>
        <v>375</v>
      </c>
      <c r="AF52" s="43">
        <f t="shared" si="41"/>
        <v>1085.95</v>
      </c>
      <c r="AG52" s="44">
        <f t="shared" si="42"/>
        <v>3.8958666666666666</v>
      </c>
      <c r="AH52" s="42"/>
      <c r="AI52" s="43">
        <f>375</f>
        <v>375</v>
      </c>
      <c r="AJ52" s="43">
        <f t="shared" si="43"/>
        <v>-375</v>
      </c>
      <c r="AK52" s="44">
        <f t="shared" si="44"/>
        <v>0</v>
      </c>
      <c r="AL52" s="42"/>
      <c r="AM52" s="43">
        <f>375</f>
        <v>375</v>
      </c>
      <c r="AN52" s="43">
        <f t="shared" si="45"/>
        <v>-375</v>
      </c>
      <c r="AO52" s="44">
        <f t="shared" si="46"/>
        <v>0</v>
      </c>
      <c r="AP52" s="42"/>
      <c r="AQ52" s="43">
        <f>375</f>
        <v>375</v>
      </c>
      <c r="AR52" s="43">
        <f t="shared" si="47"/>
        <v>-375</v>
      </c>
      <c r="AS52" s="44">
        <f t="shared" si="48"/>
        <v>0</v>
      </c>
      <c r="AT52" s="42"/>
      <c r="AU52" s="43">
        <f>375</f>
        <v>375</v>
      </c>
      <c r="AV52" s="43">
        <f t="shared" si="49"/>
        <v>-375</v>
      </c>
      <c r="AW52" s="44">
        <f t="shared" si="50"/>
        <v>0</v>
      </c>
      <c r="AX52" s="43">
        <f t="shared" si="51"/>
        <v>4229.26</v>
      </c>
      <c r="AY52" s="43">
        <f t="shared" si="51"/>
        <v>4500</v>
      </c>
      <c r="AZ52" s="43">
        <f t="shared" si="52"/>
        <v>-270.73999999999978</v>
      </c>
      <c r="BA52" s="44">
        <f t="shared" si="53"/>
        <v>0.93983555555555565</v>
      </c>
    </row>
    <row r="53" spans="1:53" x14ac:dyDescent="0.3">
      <c r="A53" s="41" t="s">
        <v>161</v>
      </c>
      <c r="B53" s="45">
        <f>(((B49)+(B50))+(B51))+(B52)</f>
        <v>3163.8900000000003</v>
      </c>
      <c r="C53" s="45">
        <f>(((C49)+(C50))+(C51))+(C52)</f>
        <v>2791.66</v>
      </c>
      <c r="D53" s="45">
        <f t="shared" si="27"/>
        <v>372.23000000000047</v>
      </c>
      <c r="E53" s="46">
        <f t="shared" si="28"/>
        <v>1.1333364378183592</v>
      </c>
      <c r="F53" s="45">
        <f>(((F49)+(F50))+(F51))+(F52)</f>
        <v>2994.38</v>
      </c>
      <c r="G53" s="45">
        <f>(((G49)+(G50))+(G51))+(G52)</f>
        <v>2791.66</v>
      </c>
      <c r="H53" s="45">
        <f t="shared" si="29"/>
        <v>202.72000000000025</v>
      </c>
      <c r="I53" s="46">
        <f t="shared" si="30"/>
        <v>1.0726162928150278</v>
      </c>
      <c r="J53" s="45">
        <f>(((J49)+(J50))+(J51))+(J52)</f>
        <v>3568.43</v>
      </c>
      <c r="K53" s="45">
        <f>(((K49)+(K50))+(K51))+(K52)</f>
        <v>2791.66</v>
      </c>
      <c r="L53" s="45">
        <f t="shared" si="31"/>
        <v>776.77</v>
      </c>
      <c r="M53" s="46">
        <f t="shared" si="32"/>
        <v>1.278246634618829</v>
      </c>
      <c r="N53" s="45">
        <f>(((N49)+(N50))+(N51))+(N52)</f>
        <v>3240.88</v>
      </c>
      <c r="O53" s="45">
        <f>(((O49)+(O50))+(O51))+(O52)</f>
        <v>2791.66</v>
      </c>
      <c r="P53" s="45">
        <f t="shared" si="33"/>
        <v>449.22000000000025</v>
      </c>
      <c r="Q53" s="46">
        <f t="shared" si="34"/>
        <v>1.1609150111403252</v>
      </c>
      <c r="R53" s="45">
        <f>(((R49)+(R50))+(R51))+(R52)</f>
        <v>2819.66</v>
      </c>
      <c r="S53" s="45">
        <f>(((S49)+(S50))+(S51))+(S52)</f>
        <v>2791.66</v>
      </c>
      <c r="T53" s="45">
        <f t="shared" si="35"/>
        <v>28</v>
      </c>
      <c r="U53" s="46">
        <f t="shared" si="36"/>
        <v>1.0100298746982082</v>
      </c>
      <c r="V53" s="45">
        <f>(((V49)+(V50))+(V51))+(V52)</f>
        <v>4995.33</v>
      </c>
      <c r="W53" s="45">
        <f>(((W49)+(W50))+(W51))+(W52)</f>
        <v>2791.66</v>
      </c>
      <c r="X53" s="45">
        <f t="shared" si="37"/>
        <v>2203.67</v>
      </c>
      <c r="Y53" s="46">
        <f t="shared" si="38"/>
        <v>1.7893762134357336</v>
      </c>
      <c r="Z53" s="45">
        <f>(((Z49)+(Z50))+(Z51))+(Z52)</f>
        <v>1588.6599999999999</v>
      </c>
      <c r="AA53" s="45">
        <f>(((AA49)+(AA50))+(AA51))+(AA52)</f>
        <v>2791.66</v>
      </c>
      <c r="AB53" s="45">
        <f t="shared" si="39"/>
        <v>-1203</v>
      </c>
      <c r="AC53" s="46">
        <f t="shared" si="40"/>
        <v>0.56907359778769617</v>
      </c>
      <c r="AD53" s="45">
        <f>(((AD49)+(AD50))+(AD51))+(AD52)</f>
        <v>4346.3</v>
      </c>
      <c r="AE53" s="45">
        <f>(((AE49)+(AE50))+(AE51))+(AE52)</f>
        <v>2791.66</v>
      </c>
      <c r="AF53" s="45">
        <f t="shared" si="41"/>
        <v>1554.6400000000003</v>
      </c>
      <c r="AG53" s="46">
        <f t="shared" si="42"/>
        <v>1.5568873000293733</v>
      </c>
      <c r="AH53" s="45">
        <f>(((AH49)+(AH50))+(AH51))+(AH52)</f>
        <v>3012.05</v>
      </c>
      <c r="AI53" s="45">
        <f>(((AI49)+(AI50))+(AI51))+(AI52)</f>
        <v>2791.66</v>
      </c>
      <c r="AJ53" s="45">
        <f t="shared" si="43"/>
        <v>220.39000000000033</v>
      </c>
      <c r="AK53" s="46">
        <f t="shared" si="44"/>
        <v>1.0789458601692183</v>
      </c>
      <c r="AL53" s="45">
        <f>(((AL49)+(AL50))+(AL51))+(AL52)</f>
        <v>0</v>
      </c>
      <c r="AM53" s="45">
        <f>(((AM49)+(AM50))+(AM51))+(AM52)</f>
        <v>2791.66</v>
      </c>
      <c r="AN53" s="45">
        <f t="shared" si="45"/>
        <v>-2791.66</v>
      </c>
      <c r="AO53" s="46">
        <f t="shared" si="46"/>
        <v>0</v>
      </c>
      <c r="AP53" s="45">
        <f>(((AP49)+(AP50))+(AP51))+(AP52)</f>
        <v>0</v>
      </c>
      <c r="AQ53" s="45">
        <f>(((AQ49)+(AQ50))+(AQ51))+(AQ52)</f>
        <v>2791.66</v>
      </c>
      <c r="AR53" s="45">
        <f t="shared" si="47"/>
        <v>-2791.66</v>
      </c>
      <c r="AS53" s="46">
        <f t="shared" si="48"/>
        <v>0</v>
      </c>
      <c r="AT53" s="45">
        <f>(((AT49)+(AT50))+(AT51))+(AT52)</f>
        <v>0</v>
      </c>
      <c r="AU53" s="45">
        <f>(((AU49)+(AU50))+(AU51))+(AU52)</f>
        <v>2791.74</v>
      </c>
      <c r="AV53" s="45">
        <f t="shared" si="49"/>
        <v>-2791.74</v>
      </c>
      <c r="AW53" s="46">
        <f t="shared" si="50"/>
        <v>0</v>
      </c>
      <c r="AX53" s="45">
        <f t="shared" si="51"/>
        <v>29729.579999999998</v>
      </c>
      <c r="AY53" s="45">
        <f t="shared" si="51"/>
        <v>33500</v>
      </c>
      <c r="AZ53" s="45">
        <f t="shared" si="52"/>
        <v>-3770.4200000000019</v>
      </c>
      <c r="BA53" s="46">
        <f t="shared" si="53"/>
        <v>0.88745014925373134</v>
      </c>
    </row>
    <row r="54" spans="1:53" x14ac:dyDescent="0.3">
      <c r="A54" s="41" t="s">
        <v>162</v>
      </c>
      <c r="B54" s="43">
        <f>1500</f>
        <v>1500</v>
      </c>
      <c r="C54" s="43">
        <f>125</f>
        <v>125</v>
      </c>
      <c r="D54" s="43">
        <f t="shared" si="27"/>
        <v>1375</v>
      </c>
      <c r="E54" s="44">
        <f t="shared" si="28"/>
        <v>12</v>
      </c>
      <c r="F54" s="42"/>
      <c r="G54" s="43">
        <f>125</f>
        <v>125</v>
      </c>
      <c r="H54" s="43">
        <f t="shared" si="29"/>
        <v>-125</v>
      </c>
      <c r="I54" s="44">
        <f t="shared" si="30"/>
        <v>0</v>
      </c>
      <c r="J54" s="42"/>
      <c r="K54" s="43">
        <f>125</f>
        <v>125</v>
      </c>
      <c r="L54" s="43">
        <f t="shared" si="31"/>
        <v>-125</v>
      </c>
      <c r="M54" s="44">
        <f t="shared" si="32"/>
        <v>0</v>
      </c>
      <c r="N54" s="42"/>
      <c r="O54" s="43">
        <f>125</f>
        <v>125</v>
      </c>
      <c r="P54" s="43">
        <f t="shared" si="33"/>
        <v>-125</v>
      </c>
      <c r="Q54" s="44">
        <f t="shared" si="34"/>
        <v>0</v>
      </c>
      <c r="R54" s="42"/>
      <c r="S54" s="43">
        <f>125</f>
        <v>125</v>
      </c>
      <c r="T54" s="43">
        <f t="shared" si="35"/>
        <v>-125</v>
      </c>
      <c r="U54" s="44">
        <f t="shared" si="36"/>
        <v>0</v>
      </c>
      <c r="V54" s="43">
        <f>2000</f>
        <v>2000</v>
      </c>
      <c r="W54" s="43">
        <f>125</f>
        <v>125</v>
      </c>
      <c r="X54" s="43">
        <f t="shared" si="37"/>
        <v>1875</v>
      </c>
      <c r="Y54" s="44">
        <f t="shared" si="38"/>
        <v>16</v>
      </c>
      <c r="Z54" s="42"/>
      <c r="AA54" s="43">
        <f>125</f>
        <v>125</v>
      </c>
      <c r="AB54" s="43">
        <f t="shared" si="39"/>
        <v>-125</v>
      </c>
      <c r="AC54" s="44">
        <f t="shared" si="40"/>
        <v>0</v>
      </c>
      <c r="AD54" s="42"/>
      <c r="AE54" s="43">
        <f>125</f>
        <v>125</v>
      </c>
      <c r="AF54" s="43">
        <f t="shared" si="41"/>
        <v>-125</v>
      </c>
      <c r="AG54" s="44">
        <f t="shared" si="42"/>
        <v>0</v>
      </c>
      <c r="AH54" s="42"/>
      <c r="AI54" s="43">
        <f>125</f>
        <v>125</v>
      </c>
      <c r="AJ54" s="43">
        <f t="shared" si="43"/>
        <v>-125</v>
      </c>
      <c r="AK54" s="44">
        <f t="shared" si="44"/>
        <v>0</v>
      </c>
      <c r="AL54" s="42"/>
      <c r="AM54" s="43">
        <f>125</f>
        <v>125</v>
      </c>
      <c r="AN54" s="43">
        <f t="shared" si="45"/>
        <v>-125</v>
      </c>
      <c r="AO54" s="44">
        <f t="shared" si="46"/>
        <v>0</v>
      </c>
      <c r="AP54" s="42"/>
      <c r="AQ54" s="43">
        <f>125</f>
        <v>125</v>
      </c>
      <c r="AR54" s="43">
        <f t="shared" si="47"/>
        <v>-125</v>
      </c>
      <c r="AS54" s="44">
        <f t="shared" si="48"/>
        <v>0</v>
      </c>
      <c r="AT54" s="42"/>
      <c r="AU54" s="43">
        <f>125</f>
        <v>125</v>
      </c>
      <c r="AV54" s="43">
        <f t="shared" si="49"/>
        <v>-125</v>
      </c>
      <c r="AW54" s="44">
        <f t="shared" si="50"/>
        <v>0</v>
      </c>
      <c r="AX54" s="43">
        <f t="shared" si="51"/>
        <v>3500</v>
      </c>
      <c r="AY54" s="43">
        <f t="shared" si="51"/>
        <v>1500</v>
      </c>
      <c r="AZ54" s="43">
        <f t="shared" si="52"/>
        <v>2000</v>
      </c>
      <c r="BA54" s="44">
        <f t="shared" si="53"/>
        <v>2.3333333333333335</v>
      </c>
    </row>
    <row r="55" spans="1:53" x14ac:dyDescent="0.3">
      <c r="A55" s="41" t="s">
        <v>163</v>
      </c>
      <c r="B55" s="45">
        <f>(((((B38)+(B44))+(B47))+(B48))+(B53))+(B54)</f>
        <v>16677.61</v>
      </c>
      <c r="C55" s="45">
        <f>(((((C38)+(C44))+(C47))+(C48))+(C53))+(C54)</f>
        <v>5666.66</v>
      </c>
      <c r="D55" s="45">
        <f t="shared" si="27"/>
        <v>11010.95</v>
      </c>
      <c r="E55" s="46">
        <f t="shared" si="28"/>
        <v>2.9431111095424818</v>
      </c>
      <c r="F55" s="45">
        <f>(((((F38)+(F44))+(F47))+(F48))+(F53))+(F54)</f>
        <v>3840.15</v>
      </c>
      <c r="G55" s="45">
        <f>(((((G38)+(G44))+(G47))+(G48))+(G53))+(G54)</f>
        <v>5666.66</v>
      </c>
      <c r="H55" s="45">
        <f t="shared" si="29"/>
        <v>-1826.5099999999998</v>
      </c>
      <c r="I55" s="46">
        <f t="shared" si="30"/>
        <v>0.67767432667567851</v>
      </c>
      <c r="J55" s="45">
        <f>(((((J38)+(J44))+(J47))+(J48))+(J53))+(J54)</f>
        <v>4533.04</v>
      </c>
      <c r="K55" s="45">
        <f>(((((K38)+(K44))+(K47))+(K48))+(K53))+(K54)</f>
        <v>5666.66</v>
      </c>
      <c r="L55" s="45">
        <f t="shared" si="31"/>
        <v>-1133.6199999999999</v>
      </c>
      <c r="M55" s="46">
        <f t="shared" si="32"/>
        <v>0.79994917641079577</v>
      </c>
      <c r="N55" s="45">
        <f>(((((N38)+(N44))+(N47))+(N48))+(N53))+(N54)</f>
        <v>6401.77</v>
      </c>
      <c r="O55" s="45">
        <f>(((((O38)+(O44))+(O47))+(O48))+(O53))+(O54)</f>
        <v>5666.66</v>
      </c>
      <c r="P55" s="45">
        <f t="shared" si="33"/>
        <v>735.11000000000058</v>
      </c>
      <c r="Q55" s="46">
        <f t="shared" si="34"/>
        <v>1.1297254467358198</v>
      </c>
      <c r="R55" s="45">
        <f>(((((R38)+(R44))+(R47))+(R48))+(R53))+(R54)</f>
        <v>6456.66</v>
      </c>
      <c r="S55" s="45">
        <f>(((((S38)+(S44))+(S47))+(S48))+(S53))+(S54)</f>
        <v>5666.66</v>
      </c>
      <c r="T55" s="45">
        <f t="shared" si="35"/>
        <v>790</v>
      </c>
      <c r="U55" s="46">
        <f t="shared" si="36"/>
        <v>1.139411928719916</v>
      </c>
      <c r="V55" s="45">
        <f>(((((V38)+(V44))+(V47))+(V48))+(V53))+(V54)</f>
        <v>7709.63</v>
      </c>
      <c r="W55" s="45">
        <f>(((((W38)+(W44))+(W47))+(W48))+(W53))+(W54)</f>
        <v>5666.66</v>
      </c>
      <c r="X55" s="45">
        <f t="shared" si="37"/>
        <v>2042.9700000000003</v>
      </c>
      <c r="Y55" s="46">
        <f t="shared" si="38"/>
        <v>1.3605245417935787</v>
      </c>
      <c r="Z55" s="45">
        <f>(((((Z38)+(Z44))+(Z47))+(Z48))+(Z53))+(Z54)</f>
        <v>2176.4699999999998</v>
      </c>
      <c r="AA55" s="45">
        <f>(((((AA38)+(AA44))+(AA47))+(AA48))+(AA53))+(AA54)</f>
        <v>5666.66</v>
      </c>
      <c r="AB55" s="45">
        <f t="shared" si="39"/>
        <v>-3490.19</v>
      </c>
      <c r="AC55" s="46">
        <f t="shared" si="40"/>
        <v>0.3840833930392859</v>
      </c>
      <c r="AD55" s="45">
        <f>(((((AD38)+(AD44))+(AD47))+(AD48))+(AD53))+(AD54)</f>
        <v>5274.62</v>
      </c>
      <c r="AE55" s="45">
        <f>(((((AE38)+(AE44))+(AE47))+(AE48))+(AE53))+(AE54)</f>
        <v>5666.66</v>
      </c>
      <c r="AF55" s="45">
        <f t="shared" si="41"/>
        <v>-392.03999999999996</v>
      </c>
      <c r="AG55" s="46">
        <f t="shared" si="42"/>
        <v>0.93081638919575205</v>
      </c>
      <c r="AH55" s="45">
        <f>(((((AH38)+(AH44))+(AH47))+(AH48))+(AH53))+(AH54)</f>
        <v>4811.2700000000004</v>
      </c>
      <c r="AI55" s="45">
        <f>(((((AI38)+(AI44))+(AI47))+(AI48))+(AI53))+(AI54)</f>
        <v>5666.66</v>
      </c>
      <c r="AJ55" s="45">
        <f t="shared" si="43"/>
        <v>-855.38999999999942</v>
      </c>
      <c r="AK55" s="46">
        <f t="shared" si="44"/>
        <v>0.84904864593958351</v>
      </c>
      <c r="AL55" s="45">
        <f>(((((AL38)+(AL44))+(AL47))+(AL48))+(AL53))+(AL54)</f>
        <v>0</v>
      </c>
      <c r="AM55" s="45">
        <f>(((((AM38)+(AM44))+(AM47))+(AM48))+(AM53))+(AM54)</f>
        <v>5666.66</v>
      </c>
      <c r="AN55" s="45">
        <f t="shared" si="45"/>
        <v>-5666.66</v>
      </c>
      <c r="AO55" s="46">
        <f t="shared" si="46"/>
        <v>0</v>
      </c>
      <c r="AP55" s="45">
        <f>(((((AP38)+(AP44))+(AP47))+(AP48))+(AP53))+(AP54)</f>
        <v>0</v>
      </c>
      <c r="AQ55" s="45">
        <f>(((((AQ38)+(AQ44))+(AQ47))+(AQ48))+(AQ53))+(AQ54)</f>
        <v>5666.66</v>
      </c>
      <c r="AR55" s="45">
        <f t="shared" si="47"/>
        <v>-5666.66</v>
      </c>
      <c r="AS55" s="46">
        <f t="shared" si="48"/>
        <v>0</v>
      </c>
      <c r="AT55" s="45">
        <f>(((((AT38)+(AT44))+(AT47))+(AT48))+(AT53))+(AT54)</f>
        <v>0</v>
      </c>
      <c r="AU55" s="45">
        <f>(((((AU38)+(AU44))+(AU47))+(AU48))+(AU53))+(AU54)</f>
        <v>5666.74</v>
      </c>
      <c r="AV55" s="45">
        <f t="shared" si="49"/>
        <v>-5666.74</v>
      </c>
      <c r="AW55" s="46">
        <f t="shared" si="50"/>
        <v>0</v>
      </c>
      <c r="AX55" s="45">
        <f t="shared" si="51"/>
        <v>57881.22</v>
      </c>
      <c r="AY55" s="45">
        <f t="shared" si="51"/>
        <v>68000.000000000015</v>
      </c>
      <c r="AZ55" s="45">
        <f t="shared" si="52"/>
        <v>-10118.780000000013</v>
      </c>
      <c r="BA55" s="46">
        <f t="shared" si="53"/>
        <v>0.85119441176470567</v>
      </c>
    </row>
    <row r="56" spans="1:53" x14ac:dyDescent="0.3">
      <c r="A56" s="41" t="s">
        <v>164</v>
      </c>
      <c r="B56" s="43">
        <f>296.55</f>
        <v>296.55</v>
      </c>
      <c r="C56" s="43">
        <f>291.67</f>
        <v>291.67</v>
      </c>
      <c r="D56" s="43">
        <f t="shared" si="27"/>
        <v>4.8799999999999955</v>
      </c>
      <c r="E56" s="44">
        <f t="shared" si="28"/>
        <v>1.0167312373572874</v>
      </c>
      <c r="F56" s="43">
        <f>275.78</f>
        <v>275.77999999999997</v>
      </c>
      <c r="G56" s="43">
        <f>291.67</f>
        <v>291.67</v>
      </c>
      <c r="H56" s="43">
        <f t="shared" si="29"/>
        <v>-15.890000000000043</v>
      </c>
      <c r="I56" s="44">
        <f t="shared" si="30"/>
        <v>0.94552062262145564</v>
      </c>
      <c r="J56" s="43">
        <f>551.44</f>
        <v>551.44000000000005</v>
      </c>
      <c r="K56" s="43">
        <f>291.67</f>
        <v>291.67</v>
      </c>
      <c r="L56" s="43">
        <f t="shared" si="31"/>
        <v>259.77000000000004</v>
      </c>
      <c r="M56" s="44">
        <f t="shared" si="32"/>
        <v>1.89062982137347</v>
      </c>
      <c r="N56" s="42"/>
      <c r="O56" s="43">
        <f>291.67</f>
        <v>291.67</v>
      </c>
      <c r="P56" s="43">
        <f t="shared" si="33"/>
        <v>-291.67</v>
      </c>
      <c r="Q56" s="44">
        <f t="shared" si="34"/>
        <v>0</v>
      </c>
      <c r="R56" s="43">
        <f>277.83</f>
        <v>277.83</v>
      </c>
      <c r="S56" s="43">
        <f>291.67</f>
        <v>291.67</v>
      </c>
      <c r="T56" s="43">
        <f t="shared" si="35"/>
        <v>-13.840000000000032</v>
      </c>
      <c r="U56" s="44">
        <f t="shared" si="36"/>
        <v>0.95254911372441442</v>
      </c>
      <c r="V56" s="43">
        <f>310.41</f>
        <v>310.41000000000003</v>
      </c>
      <c r="W56" s="43">
        <f>291.67</f>
        <v>291.67</v>
      </c>
      <c r="X56" s="43">
        <f t="shared" si="37"/>
        <v>18.740000000000009</v>
      </c>
      <c r="Y56" s="44">
        <f t="shared" si="38"/>
        <v>1.0642506942777796</v>
      </c>
      <c r="Z56" s="43">
        <f>277.55</f>
        <v>277.55</v>
      </c>
      <c r="AA56" s="43">
        <f>291.67</f>
        <v>291.67</v>
      </c>
      <c r="AB56" s="43">
        <f t="shared" si="39"/>
        <v>-14.120000000000005</v>
      </c>
      <c r="AC56" s="44">
        <f t="shared" si="40"/>
        <v>0.95158912469571777</v>
      </c>
      <c r="AD56" s="43">
        <f>282.27</f>
        <v>282.27</v>
      </c>
      <c r="AE56" s="43">
        <f>291.67</f>
        <v>291.67</v>
      </c>
      <c r="AF56" s="43">
        <f t="shared" si="41"/>
        <v>-9.4000000000000341</v>
      </c>
      <c r="AG56" s="44">
        <f t="shared" si="42"/>
        <v>0.9677717968937497</v>
      </c>
      <c r="AH56" s="43">
        <f>277.75</f>
        <v>277.75</v>
      </c>
      <c r="AI56" s="43">
        <f>291.67</f>
        <v>291.67</v>
      </c>
      <c r="AJ56" s="43">
        <f t="shared" si="43"/>
        <v>-13.920000000000016</v>
      </c>
      <c r="AK56" s="44">
        <f t="shared" si="44"/>
        <v>0.95227483114478684</v>
      </c>
      <c r="AL56" s="42"/>
      <c r="AM56" s="43">
        <f>291.67</f>
        <v>291.67</v>
      </c>
      <c r="AN56" s="43">
        <f t="shared" si="45"/>
        <v>-291.67</v>
      </c>
      <c r="AO56" s="44">
        <f t="shared" si="46"/>
        <v>0</v>
      </c>
      <c r="AP56" s="42"/>
      <c r="AQ56" s="43">
        <f>291.67</f>
        <v>291.67</v>
      </c>
      <c r="AR56" s="43">
        <f t="shared" si="47"/>
        <v>-291.67</v>
      </c>
      <c r="AS56" s="44">
        <f t="shared" si="48"/>
        <v>0</v>
      </c>
      <c r="AT56" s="42"/>
      <c r="AU56" s="43">
        <f>291.63</f>
        <v>291.63</v>
      </c>
      <c r="AV56" s="43">
        <f t="shared" si="49"/>
        <v>-291.63</v>
      </c>
      <c r="AW56" s="44">
        <f t="shared" si="50"/>
        <v>0</v>
      </c>
      <c r="AX56" s="43">
        <f t="shared" ref="AX56:AY87" si="54">(((((((((((B56)+(F56))+(J56))+(N56))+(R56))+(V56))+(Z56))+(AD56))+(AH56))+(AL56))+(AP56))+(AT56)</f>
        <v>2549.58</v>
      </c>
      <c r="AY56" s="43">
        <f t="shared" si="54"/>
        <v>3500.0000000000005</v>
      </c>
      <c r="AZ56" s="43">
        <f t="shared" si="52"/>
        <v>-950.42000000000053</v>
      </c>
      <c r="BA56" s="44">
        <f t="shared" si="53"/>
        <v>0.72845142857142842</v>
      </c>
    </row>
    <row r="57" spans="1:53" x14ac:dyDescent="0.3">
      <c r="A57" s="41" t="s">
        <v>165</v>
      </c>
      <c r="B57" s="42"/>
      <c r="C57" s="43">
        <f>458.33</f>
        <v>458.33</v>
      </c>
      <c r="D57" s="43">
        <f t="shared" si="27"/>
        <v>-458.33</v>
      </c>
      <c r="E57" s="44">
        <f t="shared" si="28"/>
        <v>0</v>
      </c>
      <c r="F57" s="42"/>
      <c r="G57" s="43">
        <f>458.33</f>
        <v>458.33</v>
      </c>
      <c r="H57" s="43">
        <f t="shared" si="29"/>
        <v>-458.33</v>
      </c>
      <c r="I57" s="44">
        <f t="shared" si="30"/>
        <v>0</v>
      </c>
      <c r="J57" s="42"/>
      <c r="K57" s="43">
        <f>458.33</f>
        <v>458.33</v>
      </c>
      <c r="L57" s="43">
        <f t="shared" si="31"/>
        <v>-458.33</v>
      </c>
      <c r="M57" s="44">
        <f t="shared" si="32"/>
        <v>0</v>
      </c>
      <c r="N57" s="42"/>
      <c r="O57" s="43">
        <f>458.33</f>
        <v>458.33</v>
      </c>
      <c r="P57" s="43">
        <f t="shared" si="33"/>
        <v>-458.33</v>
      </c>
      <c r="Q57" s="44">
        <f t="shared" si="34"/>
        <v>0</v>
      </c>
      <c r="R57" s="42"/>
      <c r="S57" s="43">
        <f>458.33</f>
        <v>458.33</v>
      </c>
      <c r="T57" s="43">
        <f t="shared" si="35"/>
        <v>-458.33</v>
      </c>
      <c r="U57" s="44">
        <f t="shared" si="36"/>
        <v>0</v>
      </c>
      <c r="V57" s="42"/>
      <c r="W57" s="43">
        <f>458.33</f>
        <v>458.33</v>
      </c>
      <c r="X57" s="43">
        <f t="shared" si="37"/>
        <v>-458.33</v>
      </c>
      <c r="Y57" s="44">
        <f t="shared" si="38"/>
        <v>0</v>
      </c>
      <c r="Z57" s="42"/>
      <c r="AA57" s="43">
        <f>458.33</f>
        <v>458.33</v>
      </c>
      <c r="AB57" s="43">
        <f t="shared" si="39"/>
        <v>-458.33</v>
      </c>
      <c r="AC57" s="44">
        <f t="shared" si="40"/>
        <v>0</v>
      </c>
      <c r="AD57" s="42"/>
      <c r="AE57" s="43">
        <f>458.33</f>
        <v>458.33</v>
      </c>
      <c r="AF57" s="43">
        <f t="shared" si="41"/>
        <v>-458.33</v>
      </c>
      <c r="AG57" s="44">
        <f t="shared" si="42"/>
        <v>0</v>
      </c>
      <c r="AH57" s="43">
        <f>4461.06</f>
        <v>4461.0600000000004</v>
      </c>
      <c r="AI57" s="43">
        <f>458.33</f>
        <v>458.33</v>
      </c>
      <c r="AJ57" s="43">
        <f t="shared" si="43"/>
        <v>4002.7300000000005</v>
      </c>
      <c r="AK57" s="44">
        <f t="shared" si="44"/>
        <v>9.7332926057644062</v>
      </c>
      <c r="AL57" s="42"/>
      <c r="AM57" s="43">
        <f>458.33</f>
        <v>458.33</v>
      </c>
      <c r="AN57" s="43">
        <f t="shared" si="45"/>
        <v>-458.33</v>
      </c>
      <c r="AO57" s="44">
        <f t="shared" si="46"/>
        <v>0</v>
      </c>
      <c r="AP57" s="42"/>
      <c r="AQ57" s="43">
        <f>458.33</f>
        <v>458.33</v>
      </c>
      <c r="AR57" s="43">
        <f t="shared" si="47"/>
        <v>-458.33</v>
      </c>
      <c r="AS57" s="44">
        <f t="shared" si="48"/>
        <v>0</v>
      </c>
      <c r="AT57" s="42"/>
      <c r="AU57" s="43">
        <f>458.37</f>
        <v>458.37</v>
      </c>
      <c r="AV57" s="43">
        <f t="shared" si="49"/>
        <v>-458.37</v>
      </c>
      <c r="AW57" s="44">
        <f t="shared" si="50"/>
        <v>0</v>
      </c>
      <c r="AX57" s="43">
        <f t="shared" si="54"/>
        <v>4461.0600000000004</v>
      </c>
      <c r="AY57" s="43">
        <f t="shared" si="54"/>
        <v>5500</v>
      </c>
      <c r="AZ57" s="43">
        <f t="shared" si="52"/>
        <v>-1038.9399999999996</v>
      </c>
      <c r="BA57" s="44">
        <f t="shared" si="53"/>
        <v>0.81110181818181826</v>
      </c>
    </row>
    <row r="58" spans="1:53" x14ac:dyDescent="0.3">
      <c r="A58" s="41" t="s">
        <v>166</v>
      </c>
      <c r="B58" s="42"/>
      <c r="C58" s="43">
        <f>291.67</f>
        <v>291.67</v>
      </c>
      <c r="D58" s="43">
        <f t="shared" si="27"/>
        <v>-291.67</v>
      </c>
      <c r="E58" s="44">
        <f t="shared" si="28"/>
        <v>0</v>
      </c>
      <c r="F58" s="42"/>
      <c r="G58" s="43">
        <f>291.67</f>
        <v>291.67</v>
      </c>
      <c r="H58" s="43">
        <f t="shared" si="29"/>
        <v>-291.67</v>
      </c>
      <c r="I58" s="44">
        <f t="shared" si="30"/>
        <v>0</v>
      </c>
      <c r="J58" s="42"/>
      <c r="K58" s="43">
        <f>291.67</f>
        <v>291.67</v>
      </c>
      <c r="L58" s="43">
        <f t="shared" si="31"/>
        <v>-291.67</v>
      </c>
      <c r="M58" s="44">
        <f t="shared" si="32"/>
        <v>0</v>
      </c>
      <c r="N58" s="42"/>
      <c r="O58" s="43">
        <f>291.67</f>
        <v>291.67</v>
      </c>
      <c r="P58" s="43">
        <f t="shared" si="33"/>
        <v>-291.67</v>
      </c>
      <c r="Q58" s="44">
        <f t="shared" si="34"/>
        <v>0</v>
      </c>
      <c r="R58" s="43">
        <f>208.79</f>
        <v>208.79</v>
      </c>
      <c r="S58" s="43">
        <f>291.67</f>
        <v>291.67</v>
      </c>
      <c r="T58" s="43">
        <f t="shared" si="35"/>
        <v>-82.880000000000024</v>
      </c>
      <c r="U58" s="44">
        <f t="shared" si="36"/>
        <v>0.71584324750574269</v>
      </c>
      <c r="V58" s="42"/>
      <c r="W58" s="43">
        <f>291.67</f>
        <v>291.67</v>
      </c>
      <c r="X58" s="43">
        <f t="shared" si="37"/>
        <v>-291.67</v>
      </c>
      <c r="Y58" s="44">
        <f t="shared" si="38"/>
        <v>0</v>
      </c>
      <c r="Z58" s="42"/>
      <c r="AA58" s="43">
        <f>291.67</f>
        <v>291.67</v>
      </c>
      <c r="AB58" s="43">
        <f t="shared" si="39"/>
        <v>-291.67</v>
      </c>
      <c r="AC58" s="44">
        <f t="shared" si="40"/>
        <v>0</v>
      </c>
      <c r="AD58" s="42"/>
      <c r="AE58" s="43">
        <f>291.67</f>
        <v>291.67</v>
      </c>
      <c r="AF58" s="43">
        <f t="shared" si="41"/>
        <v>-291.67</v>
      </c>
      <c r="AG58" s="44">
        <f t="shared" si="42"/>
        <v>0</v>
      </c>
      <c r="AH58" s="42"/>
      <c r="AI58" s="43">
        <f>291.67</f>
        <v>291.67</v>
      </c>
      <c r="AJ58" s="43">
        <f t="shared" si="43"/>
        <v>-291.67</v>
      </c>
      <c r="AK58" s="44">
        <f t="shared" si="44"/>
        <v>0</v>
      </c>
      <c r="AL58" s="42"/>
      <c r="AM58" s="43">
        <f>291.67</f>
        <v>291.67</v>
      </c>
      <c r="AN58" s="43">
        <f t="shared" si="45"/>
        <v>-291.67</v>
      </c>
      <c r="AO58" s="44">
        <f t="shared" si="46"/>
        <v>0</v>
      </c>
      <c r="AP58" s="42"/>
      <c r="AQ58" s="43">
        <f>291.67</f>
        <v>291.67</v>
      </c>
      <c r="AR58" s="43">
        <f t="shared" si="47"/>
        <v>-291.67</v>
      </c>
      <c r="AS58" s="44">
        <f t="shared" si="48"/>
        <v>0</v>
      </c>
      <c r="AT58" s="42"/>
      <c r="AU58" s="43">
        <f>291.63</f>
        <v>291.63</v>
      </c>
      <c r="AV58" s="43">
        <f t="shared" si="49"/>
        <v>-291.63</v>
      </c>
      <c r="AW58" s="44">
        <f t="shared" si="50"/>
        <v>0</v>
      </c>
      <c r="AX58" s="43">
        <f t="shared" si="54"/>
        <v>208.79</v>
      </c>
      <c r="AY58" s="43">
        <f t="shared" si="54"/>
        <v>3500.0000000000005</v>
      </c>
      <c r="AZ58" s="43">
        <f t="shared" si="52"/>
        <v>-3291.2100000000005</v>
      </c>
      <c r="BA58" s="44">
        <f t="shared" si="53"/>
        <v>5.9654285714285701E-2</v>
      </c>
    </row>
    <row r="59" spans="1:53" x14ac:dyDescent="0.3">
      <c r="A59" s="41" t="s">
        <v>118</v>
      </c>
      <c r="B59" s="42"/>
      <c r="C59" s="43">
        <f>766.67</f>
        <v>766.67</v>
      </c>
      <c r="D59" s="43">
        <f t="shared" si="27"/>
        <v>-766.67</v>
      </c>
      <c r="E59" s="44">
        <f t="shared" si="28"/>
        <v>0</v>
      </c>
      <c r="F59" s="42"/>
      <c r="G59" s="43">
        <f>766.67</f>
        <v>766.67</v>
      </c>
      <c r="H59" s="43">
        <f t="shared" si="29"/>
        <v>-766.67</v>
      </c>
      <c r="I59" s="44">
        <f t="shared" si="30"/>
        <v>0</v>
      </c>
      <c r="J59" s="42"/>
      <c r="K59" s="43">
        <f>766.67</f>
        <v>766.67</v>
      </c>
      <c r="L59" s="43">
        <f t="shared" si="31"/>
        <v>-766.67</v>
      </c>
      <c r="M59" s="44">
        <f t="shared" si="32"/>
        <v>0</v>
      </c>
      <c r="N59" s="42"/>
      <c r="O59" s="43">
        <f>766.67</f>
        <v>766.67</v>
      </c>
      <c r="P59" s="43">
        <f t="shared" si="33"/>
        <v>-766.67</v>
      </c>
      <c r="Q59" s="44">
        <f t="shared" si="34"/>
        <v>0</v>
      </c>
      <c r="R59" s="42"/>
      <c r="S59" s="43">
        <f>766.67</f>
        <v>766.67</v>
      </c>
      <c r="T59" s="43">
        <f t="shared" si="35"/>
        <v>-766.67</v>
      </c>
      <c r="U59" s="44">
        <f t="shared" si="36"/>
        <v>0</v>
      </c>
      <c r="V59" s="42"/>
      <c r="W59" s="43">
        <f>766.67</f>
        <v>766.67</v>
      </c>
      <c r="X59" s="43">
        <f t="shared" si="37"/>
        <v>-766.67</v>
      </c>
      <c r="Y59" s="44">
        <f t="shared" si="38"/>
        <v>0</v>
      </c>
      <c r="Z59" s="42"/>
      <c r="AA59" s="43">
        <f>766.67</f>
        <v>766.67</v>
      </c>
      <c r="AB59" s="43">
        <f t="shared" si="39"/>
        <v>-766.67</v>
      </c>
      <c r="AC59" s="44">
        <f t="shared" si="40"/>
        <v>0</v>
      </c>
      <c r="AD59" s="42"/>
      <c r="AE59" s="43">
        <f>766.67</f>
        <v>766.67</v>
      </c>
      <c r="AF59" s="43">
        <f t="shared" si="41"/>
        <v>-766.67</v>
      </c>
      <c r="AG59" s="44">
        <f t="shared" si="42"/>
        <v>0</v>
      </c>
      <c r="AH59" s="43">
        <f>250</f>
        <v>250</v>
      </c>
      <c r="AI59" s="43">
        <f>766.67</f>
        <v>766.67</v>
      </c>
      <c r="AJ59" s="43">
        <f t="shared" si="43"/>
        <v>-516.66999999999996</v>
      </c>
      <c r="AK59" s="44">
        <f t="shared" si="44"/>
        <v>0.32608553875852714</v>
      </c>
      <c r="AL59" s="42"/>
      <c r="AM59" s="43">
        <f>766.67</f>
        <v>766.67</v>
      </c>
      <c r="AN59" s="43">
        <f t="shared" si="45"/>
        <v>-766.67</v>
      </c>
      <c r="AO59" s="44">
        <f t="shared" si="46"/>
        <v>0</v>
      </c>
      <c r="AP59" s="42"/>
      <c r="AQ59" s="43">
        <f>766.67</f>
        <v>766.67</v>
      </c>
      <c r="AR59" s="43">
        <f t="shared" si="47"/>
        <v>-766.67</v>
      </c>
      <c r="AS59" s="44">
        <f t="shared" si="48"/>
        <v>0</v>
      </c>
      <c r="AT59" s="42"/>
      <c r="AU59" s="43">
        <f>766.63</f>
        <v>766.63</v>
      </c>
      <c r="AV59" s="43">
        <f t="shared" si="49"/>
        <v>-766.63</v>
      </c>
      <c r="AW59" s="44">
        <f t="shared" si="50"/>
        <v>0</v>
      </c>
      <c r="AX59" s="43">
        <f t="shared" si="54"/>
        <v>250</v>
      </c>
      <c r="AY59" s="43">
        <f t="shared" si="54"/>
        <v>9199.9999999999982</v>
      </c>
      <c r="AZ59" s="43">
        <f t="shared" si="52"/>
        <v>-8949.9999999999982</v>
      </c>
      <c r="BA59" s="44">
        <f t="shared" si="53"/>
        <v>2.7173913043478267E-2</v>
      </c>
    </row>
    <row r="60" spans="1:53" x14ac:dyDescent="0.3">
      <c r="A60" s="41" t="s">
        <v>167</v>
      </c>
      <c r="B60" s="45">
        <f>(B58)+(B59)</f>
        <v>0</v>
      </c>
      <c r="C60" s="45">
        <f>(C58)+(C59)</f>
        <v>1058.3399999999999</v>
      </c>
      <c r="D60" s="45">
        <f t="shared" si="27"/>
        <v>-1058.3399999999999</v>
      </c>
      <c r="E60" s="46">
        <f t="shared" si="28"/>
        <v>0</v>
      </c>
      <c r="F60" s="45">
        <f>(F58)+(F59)</f>
        <v>0</v>
      </c>
      <c r="G60" s="45">
        <f>(G58)+(G59)</f>
        <v>1058.3399999999999</v>
      </c>
      <c r="H60" s="45">
        <f t="shared" si="29"/>
        <v>-1058.3399999999999</v>
      </c>
      <c r="I60" s="46">
        <f t="shared" si="30"/>
        <v>0</v>
      </c>
      <c r="J60" s="45">
        <f>(J58)+(J59)</f>
        <v>0</v>
      </c>
      <c r="K60" s="45">
        <f>(K58)+(K59)</f>
        <v>1058.3399999999999</v>
      </c>
      <c r="L60" s="45">
        <f t="shared" si="31"/>
        <v>-1058.3399999999999</v>
      </c>
      <c r="M60" s="46">
        <f t="shared" si="32"/>
        <v>0</v>
      </c>
      <c r="N60" s="45">
        <f>(N58)+(N59)</f>
        <v>0</v>
      </c>
      <c r="O60" s="45">
        <f>(O58)+(O59)</f>
        <v>1058.3399999999999</v>
      </c>
      <c r="P60" s="45">
        <f t="shared" si="33"/>
        <v>-1058.3399999999999</v>
      </c>
      <c r="Q60" s="46">
        <f t="shared" si="34"/>
        <v>0</v>
      </c>
      <c r="R60" s="45">
        <f>(R58)+(R59)</f>
        <v>208.79</v>
      </c>
      <c r="S60" s="45">
        <f>(S58)+(S59)</f>
        <v>1058.3399999999999</v>
      </c>
      <c r="T60" s="45">
        <f t="shared" si="35"/>
        <v>-849.55</v>
      </c>
      <c r="U60" s="46">
        <f t="shared" si="36"/>
        <v>0.1972806470510422</v>
      </c>
      <c r="V60" s="45">
        <f>(V58)+(V59)</f>
        <v>0</v>
      </c>
      <c r="W60" s="45">
        <f>(W58)+(W59)</f>
        <v>1058.3399999999999</v>
      </c>
      <c r="X60" s="45">
        <f t="shared" si="37"/>
        <v>-1058.3399999999999</v>
      </c>
      <c r="Y60" s="46">
        <f t="shared" si="38"/>
        <v>0</v>
      </c>
      <c r="Z60" s="45">
        <f>(Z58)+(Z59)</f>
        <v>0</v>
      </c>
      <c r="AA60" s="45">
        <f>(AA58)+(AA59)</f>
        <v>1058.3399999999999</v>
      </c>
      <c r="AB60" s="45">
        <f t="shared" si="39"/>
        <v>-1058.3399999999999</v>
      </c>
      <c r="AC60" s="46">
        <f t="shared" si="40"/>
        <v>0</v>
      </c>
      <c r="AD60" s="45">
        <f>(AD58)+(AD59)</f>
        <v>0</v>
      </c>
      <c r="AE60" s="45">
        <f>(AE58)+(AE59)</f>
        <v>1058.3399999999999</v>
      </c>
      <c r="AF60" s="45">
        <f t="shared" si="41"/>
        <v>-1058.3399999999999</v>
      </c>
      <c r="AG60" s="46">
        <f t="shared" si="42"/>
        <v>0</v>
      </c>
      <c r="AH60" s="45">
        <f>(AH58)+(AH59)</f>
        <v>250</v>
      </c>
      <c r="AI60" s="45">
        <f>(AI58)+(AI59)</f>
        <v>1058.3399999999999</v>
      </c>
      <c r="AJ60" s="45">
        <f t="shared" si="43"/>
        <v>-808.33999999999992</v>
      </c>
      <c r="AK60" s="46">
        <f t="shared" si="44"/>
        <v>0.23621898444734207</v>
      </c>
      <c r="AL60" s="45">
        <f>(AL58)+(AL59)</f>
        <v>0</v>
      </c>
      <c r="AM60" s="45">
        <f>(AM58)+(AM59)</f>
        <v>1058.3399999999999</v>
      </c>
      <c r="AN60" s="45">
        <f t="shared" si="45"/>
        <v>-1058.3399999999999</v>
      </c>
      <c r="AO60" s="46">
        <f t="shared" si="46"/>
        <v>0</v>
      </c>
      <c r="AP60" s="45">
        <f>(AP58)+(AP59)</f>
        <v>0</v>
      </c>
      <c r="AQ60" s="45">
        <f>(AQ58)+(AQ59)</f>
        <v>1058.3399999999999</v>
      </c>
      <c r="AR60" s="45">
        <f t="shared" si="47"/>
        <v>-1058.3399999999999</v>
      </c>
      <c r="AS60" s="46">
        <f t="shared" si="48"/>
        <v>0</v>
      </c>
      <c r="AT60" s="45">
        <f>(AT58)+(AT59)</f>
        <v>0</v>
      </c>
      <c r="AU60" s="45">
        <f>(AU58)+(AU59)</f>
        <v>1058.26</v>
      </c>
      <c r="AV60" s="45">
        <f t="shared" si="49"/>
        <v>-1058.26</v>
      </c>
      <c r="AW60" s="46">
        <f t="shared" si="50"/>
        <v>0</v>
      </c>
      <c r="AX60" s="45">
        <f t="shared" si="54"/>
        <v>458.78999999999996</v>
      </c>
      <c r="AY60" s="45">
        <f t="shared" si="54"/>
        <v>12700</v>
      </c>
      <c r="AZ60" s="45">
        <f t="shared" si="52"/>
        <v>-12241.21</v>
      </c>
      <c r="BA60" s="46">
        <f t="shared" si="53"/>
        <v>3.6125196850393698E-2</v>
      </c>
    </row>
    <row r="61" spans="1:53" x14ac:dyDescent="0.3">
      <c r="A61" s="41" t="s">
        <v>168</v>
      </c>
      <c r="B61" s="42"/>
      <c r="C61" s="43">
        <f>250</f>
        <v>250</v>
      </c>
      <c r="D61" s="43">
        <f t="shared" si="27"/>
        <v>-250</v>
      </c>
      <c r="E61" s="44">
        <f t="shared" si="28"/>
        <v>0</v>
      </c>
      <c r="F61" s="42"/>
      <c r="G61" s="43">
        <f>250</f>
        <v>250</v>
      </c>
      <c r="H61" s="43">
        <f t="shared" si="29"/>
        <v>-250</v>
      </c>
      <c r="I61" s="44">
        <f t="shared" si="30"/>
        <v>0</v>
      </c>
      <c r="J61" s="42"/>
      <c r="K61" s="43">
        <f>250</f>
        <v>250</v>
      </c>
      <c r="L61" s="43">
        <f t="shared" si="31"/>
        <v>-250</v>
      </c>
      <c r="M61" s="44">
        <f t="shared" si="32"/>
        <v>0</v>
      </c>
      <c r="N61" s="42"/>
      <c r="O61" s="43">
        <f>250</f>
        <v>250</v>
      </c>
      <c r="P61" s="43">
        <f t="shared" si="33"/>
        <v>-250</v>
      </c>
      <c r="Q61" s="44">
        <f t="shared" si="34"/>
        <v>0</v>
      </c>
      <c r="R61" s="42"/>
      <c r="S61" s="43">
        <f>250</f>
        <v>250</v>
      </c>
      <c r="T61" s="43">
        <f t="shared" si="35"/>
        <v>-250</v>
      </c>
      <c r="U61" s="44">
        <f t="shared" si="36"/>
        <v>0</v>
      </c>
      <c r="V61" s="42"/>
      <c r="W61" s="43">
        <f>250</f>
        <v>250</v>
      </c>
      <c r="X61" s="43">
        <f t="shared" si="37"/>
        <v>-250</v>
      </c>
      <c r="Y61" s="44">
        <f t="shared" si="38"/>
        <v>0</v>
      </c>
      <c r="Z61" s="42"/>
      <c r="AA61" s="43">
        <f>250</f>
        <v>250</v>
      </c>
      <c r="AB61" s="43">
        <f t="shared" si="39"/>
        <v>-250</v>
      </c>
      <c r="AC61" s="44">
        <f t="shared" si="40"/>
        <v>0</v>
      </c>
      <c r="AD61" s="42"/>
      <c r="AE61" s="43">
        <f>250</f>
        <v>250</v>
      </c>
      <c r="AF61" s="43">
        <f t="shared" si="41"/>
        <v>-250</v>
      </c>
      <c r="AG61" s="44">
        <f t="shared" si="42"/>
        <v>0</v>
      </c>
      <c r="AH61" s="42"/>
      <c r="AI61" s="43">
        <f>250</f>
        <v>250</v>
      </c>
      <c r="AJ61" s="43">
        <f t="shared" si="43"/>
        <v>-250</v>
      </c>
      <c r="AK61" s="44">
        <f t="shared" si="44"/>
        <v>0</v>
      </c>
      <c r="AL61" s="42"/>
      <c r="AM61" s="43">
        <f>250</f>
        <v>250</v>
      </c>
      <c r="AN61" s="43">
        <f t="shared" si="45"/>
        <v>-250</v>
      </c>
      <c r="AO61" s="44">
        <f t="shared" si="46"/>
        <v>0</v>
      </c>
      <c r="AP61" s="42"/>
      <c r="AQ61" s="43">
        <f>250</f>
        <v>250</v>
      </c>
      <c r="AR61" s="43">
        <f t="shared" si="47"/>
        <v>-250</v>
      </c>
      <c r="AS61" s="44">
        <f t="shared" si="48"/>
        <v>0</v>
      </c>
      <c r="AT61" s="42"/>
      <c r="AU61" s="43">
        <f>250</f>
        <v>250</v>
      </c>
      <c r="AV61" s="43">
        <f t="shared" si="49"/>
        <v>-250</v>
      </c>
      <c r="AW61" s="44">
        <f t="shared" si="50"/>
        <v>0</v>
      </c>
      <c r="AX61" s="43">
        <f t="shared" si="54"/>
        <v>0</v>
      </c>
      <c r="AY61" s="43">
        <f t="shared" si="54"/>
        <v>3000</v>
      </c>
      <c r="AZ61" s="43">
        <f t="shared" si="52"/>
        <v>-3000</v>
      </c>
      <c r="BA61" s="44">
        <f t="shared" si="53"/>
        <v>0</v>
      </c>
    </row>
    <row r="62" spans="1:53" x14ac:dyDescent="0.3">
      <c r="A62" s="41" t="s">
        <v>169</v>
      </c>
      <c r="B62" s="43">
        <f>203.85</f>
        <v>203.85</v>
      </c>
      <c r="C62" s="43">
        <f>83.33</f>
        <v>83.33</v>
      </c>
      <c r="D62" s="43">
        <f t="shared" si="27"/>
        <v>120.52</v>
      </c>
      <c r="E62" s="44">
        <f t="shared" si="28"/>
        <v>2.4462978519140766</v>
      </c>
      <c r="F62" s="43">
        <f>77.73</f>
        <v>77.73</v>
      </c>
      <c r="G62" s="43">
        <f>83.33</f>
        <v>83.33</v>
      </c>
      <c r="H62" s="43">
        <f t="shared" si="29"/>
        <v>-5.5999999999999943</v>
      </c>
      <c r="I62" s="44">
        <f t="shared" si="30"/>
        <v>0.93279731189247572</v>
      </c>
      <c r="J62" s="43">
        <f>13.98</f>
        <v>13.98</v>
      </c>
      <c r="K62" s="43">
        <f>83.33</f>
        <v>83.33</v>
      </c>
      <c r="L62" s="43">
        <f t="shared" si="31"/>
        <v>-69.349999999999994</v>
      </c>
      <c r="M62" s="44">
        <f t="shared" si="32"/>
        <v>0.16776671066842674</v>
      </c>
      <c r="N62" s="43">
        <f>154.95</f>
        <v>154.94999999999999</v>
      </c>
      <c r="O62" s="43">
        <f>83.33</f>
        <v>83.33</v>
      </c>
      <c r="P62" s="43">
        <f t="shared" si="33"/>
        <v>71.61999999999999</v>
      </c>
      <c r="Q62" s="44">
        <f t="shared" si="34"/>
        <v>1.8594743789751589</v>
      </c>
      <c r="R62" s="43">
        <f>254.41</f>
        <v>254.41</v>
      </c>
      <c r="S62" s="43">
        <f>83.33</f>
        <v>83.33</v>
      </c>
      <c r="T62" s="43">
        <f t="shared" si="35"/>
        <v>171.07999999999998</v>
      </c>
      <c r="U62" s="44">
        <f t="shared" si="36"/>
        <v>3.0530421216848675</v>
      </c>
      <c r="V62" s="43">
        <f>72.89</f>
        <v>72.89</v>
      </c>
      <c r="W62" s="43">
        <f>83.33</f>
        <v>83.33</v>
      </c>
      <c r="X62" s="43">
        <f t="shared" si="37"/>
        <v>-10.439999999999998</v>
      </c>
      <c r="Y62" s="44">
        <f t="shared" si="38"/>
        <v>0.874714988599544</v>
      </c>
      <c r="Z62" s="43">
        <f>45.05</f>
        <v>45.05</v>
      </c>
      <c r="AA62" s="43">
        <f>83.33</f>
        <v>83.33</v>
      </c>
      <c r="AB62" s="43">
        <f t="shared" si="39"/>
        <v>-38.28</v>
      </c>
      <c r="AC62" s="44">
        <f t="shared" si="40"/>
        <v>0.54062162486499454</v>
      </c>
      <c r="AD62" s="42"/>
      <c r="AE62" s="43">
        <f>83.33</f>
        <v>83.33</v>
      </c>
      <c r="AF62" s="43">
        <f t="shared" si="41"/>
        <v>-83.33</v>
      </c>
      <c r="AG62" s="44">
        <f t="shared" si="42"/>
        <v>0</v>
      </c>
      <c r="AH62" s="43">
        <f>82.59</f>
        <v>82.59</v>
      </c>
      <c r="AI62" s="43">
        <f>83.33</f>
        <v>83.33</v>
      </c>
      <c r="AJ62" s="43">
        <f t="shared" si="43"/>
        <v>-0.73999999999999488</v>
      </c>
      <c r="AK62" s="44">
        <f t="shared" si="44"/>
        <v>0.99111964478579151</v>
      </c>
      <c r="AL62" s="42"/>
      <c r="AM62" s="43">
        <f>83.33</f>
        <v>83.33</v>
      </c>
      <c r="AN62" s="43">
        <f t="shared" si="45"/>
        <v>-83.33</v>
      </c>
      <c r="AO62" s="44">
        <f t="shared" si="46"/>
        <v>0</v>
      </c>
      <c r="AP62" s="42"/>
      <c r="AQ62" s="43">
        <f>83.33</f>
        <v>83.33</v>
      </c>
      <c r="AR62" s="43">
        <f t="shared" si="47"/>
        <v>-83.33</v>
      </c>
      <c r="AS62" s="44">
        <f t="shared" si="48"/>
        <v>0</v>
      </c>
      <c r="AT62" s="42"/>
      <c r="AU62" s="43">
        <f>83.37</f>
        <v>83.37</v>
      </c>
      <c r="AV62" s="43">
        <f t="shared" si="49"/>
        <v>-83.37</v>
      </c>
      <c r="AW62" s="44">
        <f t="shared" si="50"/>
        <v>0</v>
      </c>
      <c r="AX62" s="43">
        <f t="shared" si="54"/>
        <v>905.44999999999993</v>
      </c>
      <c r="AY62" s="43">
        <f t="shared" si="54"/>
        <v>1000.0000000000001</v>
      </c>
      <c r="AZ62" s="43">
        <f t="shared" si="52"/>
        <v>-94.550000000000182</v>
      </c>
      <c r="BA62" s="44">
        <f t="shared" si="53"/>
        <v>0.90544999999999987</v>
      </c>
    </row>
    <row r="63" spans="1:53" x14ac:dyDescent="0.3">
      <c r="A63" s="41" t="s">
        <v>170</v>
      </c>
      <c r="B63" s="42"/>
      <c r="C63" s="43">
        <f>25</f>
        <v>25</v>
      </c>
      <c r="D63" s="43">
        <f t="shared" si="27"/>
        <v>-25</v>
      </c>
      <c r="E63" s="44">
        <f t="shared" si="28"/>
        <v>0</v>
      </c>
      <c r="F63" s="43">
        <f>28</f>
        <v>28</v>
      </c>
      <c r="G63" s="43">
        <f>25</f>
        <v>25</v>
      </c>
      <c r="H63" s="43">
        <f t="shared" si="29"/>
        <v>3</v>
      </c>
      <c r="I63" s="44">
        <f t="shared" si="30"/>
        <v>1.1200000000000001</v>
      </c>
      <c r="J63" s="43">
        <f>10</f>
        <v>10</v>
      </c>
      <c r="K63" s="43">
        <f>25</f>
        <v>25</v>
      </c>
      <c r="L63" s="43">
        <f t="shared" si="31"/>
        <v>-15</v>
      </c>
      <c r="M63" s="44">
        <f t="shared" si="32"/>
        <v>0.4</v>
      </c>
      <c r="N63" s="43">
        <f>17</f>
        <v>17</v>
      </c>
      <c r="O63" s="43">
        <f>25</f>
        <v>25</v>
      </c>
      <c r="P63" s="43">
        <f t="shared" si="33"/>
        <v>-8</v>
      </c>
      <c r="Q63" s="44">
        <f t="shared" si="34"/>
        <v>0.68</v>
      </c>
      <c r="R63" s="42"/>
      <c r="S63" s="43">
        <f>25</f>
        <v>25</v>
      </c>
      <c r="T63" s="43">
        <f t="shared" si="35"/>
        <v>-25</v>
      </c>
      <c r="U63" s="44">
        <f t="shared" si="36"/>
        <v>0</v>
      </c>
      <c r="V63" s="42"/>
      <c r="W63" s="43">
        <f>25</f>
        <v>25</v>
      </c>
      <c r="X63" s="43">
        <f t="shared" si="37"/>
        <v>-25</v>
      </c>
      <c r="Y63" s="44">
        <f t="shared" si="38"/>
        <v>0</v>
      </c>
      <c r="Z63" s="43">
        <f>9.34</f>
        <v>9.34</v>
      </c>
      <c r="AA63" s="43">
        <f>25</f>
        <v>25</v>
      </c>
      <c r="AB63" s="43">
        <f t="shared" si="39"/>
        <v>-15.66</v>
      </c>
      <c r="AC63" s="44">
        <f t="shared" si="40"/>
        <v>0.37359999999999999</v>
      </c>
      <c r="AD63" s="43">
        <f>19.57</f>
        <v>19.57</v>
      </c>
      <c r="AE63" s="43">
        <f>25</f>
        <v>25</v>
      </c>
      <c r="AF63" s="43">
        <f t="shared" si="41"/>
        <v>-5.43</v>
      </c>
      <c r="AG63" s="44">
        <f t="shared" si="42"/>
        <v>0.78280000000000005</v>
      </c>
      <c r="AH63" s="42"/>
      <c r="AI63" s="43">
        <f>25</f>
        <v>25</v>
      </c>
      <c r="AJ63" s="43">
        <f t="shared" si="43"/>
        <v>-25</v>
      </c>
      <c r="AK63" s="44">
        <f t="shared" si="44"/>
        <v>0</v>
      </c>
      <c r="AL63" s="42"/>
      <c r="AM63" s="43">
        <f>25</f>
        <v>25</v>
      </c>
      <c r="AN63" s="43">
        <f t="shared" si="45"/>
        <v>-25</v>
      </c>
      <c r="AO63" s="44">
        <f t="shared" si="46"/>
        <v>0</v>
      </c>
      <c r="AP63" s="42"/>
      <c r="AQ63" s="43">
        <f>25</f>
        <v>25</v>
      </c>
      <c r="AR63" s="43">
        <f t="shared" si="47"/>
        <v>-25</v>
      </c>
      <c r="AS63" s="44">
        <f t="shared" si="48"/>
        <v>0</v>
      </c>
      <c r="AT63" s="42"/>
      <c r="AU63" s="43">
        <f>25</f>
        <v>25</v>
      </c>
      <c r="AV63" s="43">
        <f t="shared" si="49"/>
        <v>-25</v>
      </c>
      <c r="AW63" s="44">
        <f t="shared" si="50"/>
        <v>0</v>
      </c>
      <c r="AX63" s="43">
        <f t="shared" si="54"/>
        <v>83.91</v>
      </c>
      <c r="AY63" s="43">
        <f t="shared" si="54"/>
        <v>300</v>
      </c>
      <c r="AZ63" s="43">
        <f t="shared" si="52"/>
        <v>-216.09</v>
      </c>
      <c r="BA63" s="44">
        <f t="shared" si="53"/>
        <v>0.2797</v>
      </c>
    </row>
    <row r="64" spans="1:53" x14ac:dyDescent="0.3">
      <c r="A64" s="41" t="s">
        <v>171</v>
      </c>
      <c r="B64" s="42"/>
      <c r="C64" s="42"/>
      <c r="D64" s="43">
        <f t="shared" si="27"/>
        <v>0</v>
      </c>
      <c r="E64" s="44" t="str">
        <f t="shared" si="28"/>
        <v/>
      </c>
      <c r="F64" s="42"/>
      <c r="G64" s="42"/>
      <c r="H64" s="43">
        <f t="shared" si="29"/>
        <v>0</v>
      </c>
      <c r="I64" s="44" t="str">
        <f t="shared" si="30"/>
        <v/>
      </c>
      <c r="J64" s="42"/>
      <c r="K64" s="42"/>
      <c r="L64" s="43">
        <f t="shared" si="31"/>
        <v>0</v>
      </c>
      <c r="M64" s="44" t="str">
        <f t="shared" si="32"/>
        <v/>
      </c>
      <c r="N64" s="42"/>
      <c r="O64" s="42"/>
      <c r="P64" s="43">
        <f t="shared" si="33"/>
        <v>0</v>
      </c>
      <c r="Q64" s="44" t="str">
        <f t="shared" si="34"/>
        <v/>
      </c>
      <c r="R64" s="42"/>
      <c r="S64" s="42"/>
      <c r="T64" s="43">
        <f t="shared" si="35"/>
        <v>0</v>
      </c>
      <c r="U64" s="44" t="str">
        <f t="shared" si="36"/>
        <v/>
      </c>
      <c r="V64" s="42"/>
      <c r="W64" s="42"/>
      <c r="X64" s="43">
        <f t="shared" si="37"/>
        <v>0</v>
      </c>
      <c r="Y64" s="44" t="str">
        <f t="shared" si="38"/>
        <v/>
      </c>
      <c r="Z64" s="42"/>
      <c r="AA64" s="42"/>
      <c r="AB64" s="43">
        <f t="shared" si="39"/>
        <v>0</v>
      </c>
      <c r="AC64" s="44" t="str">
        <f t="shared" si="40"/>
        <v/>
      </c>
      <c r="AD64" s="42"/>
      <c r="AE64" s="42"/>
      <c r="AF64" s="43">
        <f t="shared" si="41"/>
        <v>0</v>
      </c>
      <c r="AG64" s="44" t="str">
        <f t="shared" si="42"/>
        <v/>
      </c>
      <c r="AH64" s="42"/>
      <c r="AI64" s="42"/>
      <c r="AJ64" s="43">
        <f t="shared" si="43"/>
        <v>0</v>
      </c>
      <c r="AK64" s="44" t="str">
        <f t="shared" si="44"/>
        <v/>
      </c>
      <c r="AL64" s="42"/>
      <c r="AM64" s="42"/>
      <c r="AN64" s="43">
        <f t="shared" si="45"/>
        <v>0</v>
      </c>
      <c r="AO64" s="44" t="str">
        <f t="shared" si="46"/>
        <v/>
      </c>
      <c r="AP64" s="42"/>
      <c r="AQ64" s="42"/>
      <c r="AR64" s="43">
        <f t="shared" si="47"/>
        <v>0</v>
      </c>
      <c r="AS64" s="44" t="str">
        <f t="shared" si="48"/>
        <v/>
      </c>
      <c r="AT64" s="42"/>
      <c r="AU64" s="42"/>
      <c r="AV64" s="43">
        <f t="shared" si="49"/>
        <v>0</v>
      </c>
      <c r="AW64" s="44" t="str">
        <f t="shared" si="50"/>
        <v/>
      </c>
      <c r="AX64" s="43">
        <f t="shared" si="54"/>
        <v>0</v>
      </c>
      <c r="AY64" s="43">
        <f t="shared" si="54"/>
        <v>0</v>
      </c>
      <c r="AZ64" s="43">
        <f t="shared" si="52"/>
        <v>0</v>
      </c>
      <c r="BA64" s="44" t="str">
        <f t="shared" si="53"/>
        <v/>
      </c>
    </row>
    <row r="65" spans="1:53" x14ac:dyDescent="0.3">
      <c r="A65" s="41" t="s">
        <v>172</v>
      </c>
      <c r="B65" s="42"/>
      <c r="C65" s="43">
        <f>250</f>
        <v>250</v>
      </c>
      <c r="D65" s="43">
        <f t="shared" si="27"/>
        <v>-250</v>
      </c>
      <c r="E65" s="44">
        <f t="shared" si="28"/>
        <v>0</v>
      </c>
      <c r="F65" s="42"/>
      <c r="G65" s="43">
        <f>250</f>
        <v>250</v>
      </c>
      <c r="H65" s="43">
        <f t="shared" si="29"/>
        <v>-250</v>
      </c>
      <c r="I65" s="44">
        <f t="shared" si="30"/>
        <v>0</v>
      </c>
      <c r="J65" s="42"/>
      <c r="K65" s="43">
        <f>250</f>
        <v>250</v>
      </c>
      <c r="L65" s="43">
        <f t="shared" si="31"/>
        <v>-250</v>
      </c>
      <c r="M65" s="44">
        <f t="shared" si="32"/>
        <v>0</v>
      </c>
      <c r="N65" s="42"/>
      <c r="O65" s="43">
        <f>250</f>
        <v>250</v>
      </c>
      <c r="P65" s="43">
        <f t="shared" si="33"/>
        <v>-250</v>
      </c>
      <c r="Q65" s="44">
        <f t="shared" si="34"/>
        <v>0</v>
      </c>
      <c r="R65" s="42"/>
      <c r="S65" s="43">
        <f>250</f>
        <v>250</v>
      </c>
      <c r="T65" s="43">
        <f t="shared" si="35"/>
        <v>-250</v>
      </c>
      <c r="U65" s="44">
        <f t="shared" si="36"/>
        <v>0</v>
      </c>
      <c r="V65" s="42"/>
      <c r="W65" s="43">
        <f>250</f>
        <v>250</v>
      </c>
      <c r="X65" s="43">
        <f t="shared" si="37"/>
        <v>-250</v>
      </c>
      <c r="Y65" s="44">
        <f t="shared" si="38"/>
        <v>0</v>
      </c>
      <c r="Z65" s="42"/>
      <c r="AA65" s="43">
        <f>250</f>
        <v>250</v>
      </c>
      <c r="AB65" s="43">
        <f t="shared" si="39"/>
        <v>-250</v>
      </c>
      <c r="AC65" s="44">
        <f t="shared" si="40"/>
        <v>0</v>
      </c>
      <c r="AD65" s="42"/>
      <c r="AE65" s="43">
        <f>250</f>
        <v>250</v>
      </c>
      <c r="AF65" s="43">
        <f t="shared" si="41"/>
        <v>-250</v>
      </c>
      <c r="AG65" s="44">
        <f t="shared" si="42"/>
        <v>0</v>
      </c>
      <c r="AH65" s="43">
        <f>700</f>
        <v>700</v>
      </c>
      <c r="AI65" s="43">
        <f>250</f>
        <v>250</v>
      </c>
      <c r="AJ65" s="43">
        <f t="shared" si="43"/>
        <v>450</v>
      </c>
      <c r="AK65" s="44">
        <f t="shared" si="44"/>
        <v>2.8</v>
      </c>
      <c r="AL65" s="42"/>
      <c r="AM65" s="43">
        <f>250</f>
        <v>250</v>
      </c>
      <c r="AN65" s="43">
        <f t="shared" si="45"/>
        <v>-250</v>
      </c>
      <c r="AO65" s="44">
        <f t="shared" si="46"/>
        <v>0</v>
      </c>
      <c r="AP65" s="42"/>
      <c r="AQ65" s="43">
        <f>250</f>
        <v>250</v>
      </c>
      <c r="AR65" s="43">
        <f t="shared" si="47"/>
        <v>-250</v>
      </c>
      <c r="AS65" s="44">
        <f t="shared" si="48"/>
        <v>0</v>
      </c>
      <c r="AT65" s="42"/>
      <c r="AU65" s="43">
        <f>250</f>
        <v>250</v>
      </c>
      <c r="AV65" s="43">
        <f t="shared" si="49"/>
        <v>-250</v>
      </c>
      <c r="AW65" s="44">
        <f t="shared" si="50"/>
        <v>0</v>
      </c>
      <c r="AX65" s="43">
        <f t="shared" si="54"/>
        <v>700</v>
      </c>
      <c r="AY65" s="43">
        <f t="shared" si="54"/>
        <v>3000</v>
      </c>
      <c r="AZ65" s="43">
        <f t="shared" si="52"/>
        <v>-2300</v>
      </c>
      <c r="BA65" s="44">
        <f t="shared" si="53"/>
        <v>0.23333333333333334</v>
      </c>
    </row>
    <row r="66" spans="1:53" x14ac:dyDescent="0.3">
      <c r="A66" s="41" t="s">
        <v>173</v>
      </c>
      <c r="B66" s="42"/>
      <c r="C66" s="43">
        <f>833.33</f>
        <v>833.33</v>
      </c>
      <c r="D66" s="43">
        <f t="shared" si="27"/>
        <v>-833.33</v>
      </c>
      <c r="E66" s="44">
        <f t="shared" si="28"/>
        <v>0</v>
      </c>
      <c r="F66" s="43">
        <f>1390</f>
        <v>1390</v>
      </c>
      <c r="G66" s="43">
        <f>833.33</f>
        <v>833.33</v>
      </c>
      <c r="H66" s="43">
        <f t="shared" si="29"/>
        <v>556.66999999999996</v>
      </c>
      <c r="I66" s="44">
        <f t="shared" si="30"/>
        <v>1.668006672026688</v>
      </c>
      <c r="J66" s="43">
        <f>695</f>
        <v>695</v>
      </c>
      <c r="K66" s="43">
        <f>833.33</f>
        <v>833.33</v>
      </c>
      <c r="L66" s="43">
        <f t="shared" si="31"/>
        <v>-138.33000000000004</v>
      </c>
      <c r="M66" s="44">
        <f t="shared" si="32"/>
        <v>0.83400333601334398</v>
      </c>
      <c r="N66" s="42"/>
      <c r="O66" s="43">
        <f>833.33</f>
        <v>833.33</v>
      </c>
      <c r="P66" s="43">
        <f t="shared" si="33"/>
        <v>-833.33</v>
      </c>
      <c r="Q66" s="44">
        <f t="shared" si="34"/>
        <v>0</v>
      </c>
      <c r="R66" s="43">
        <f>1390</f>
        <v>1390</v>
      </c>
      <c r="S66" s="43">
        <f>833.33</f>
        <v>833.33</v>
      </c>
      <c r="T66" s="43">
        <f t="shared" si="35"/>
        <v>556.66999999999996</v>
      </c>
      <c r="U66" s="44">
        <f t="shared" si="36"/>
        <v>1.668006672026688</v>
      </c>
      <c r="V66" s="43">
        <f>695</f>
        <v>695</v>
      </c>
      <c r="W66" s="43">
        <f>833.33</f>
        <v>833.33</v>
      </c>
      <c r="X66" s="43">
        <f t="shared" si="37"/>
        <v>-138.33000000000004</v>
      </c>
      <c r="Y66" s="44">
        <f t="shared" si="38"/>
        <v>0.83400333601334398</v>
      </c>
      <c r="Z66" s="42"/>
      <c r="AA66" s="43">
        <f>833.33</f>
        <v>833.33</v>
      </c>
      <c r="AB66" s="43">
        <f t="shared" si="39"/>
        <v>-833.33</v>
      </c>
      <c r="AC66" s="44">
        <f t="shared" si="40"/>
        <v>0</v>
      </c>
      <c r="AD66" s="43">
        <f>695</f>
        <v>695</v>
      </c>
      <c r="AE66" s="43">
        <f>833.33</f>
        <v>833.33</v>
      </c>
      <c r="AF66" s="43">
        <f t="shared" si="41"/>
        <v>-138.33000000000004</v>
      </c>
      <c r="AG66" s="44">
        <f t="shared" si="42"/>
        <v>0.83400333601334398</v>
      </c>
      <c r="AH66" s="43">
        <f>695</f>
        <v>695</v>
      </c>
      <c r="AI66" s="43">
        <f>833.33</f>
        <v>833.33</v>
      </c>
      <c r="AJ66" s="43">
        <f t="shared" si="43"/>
        <v>-138.33000000000004</v>
      </c>
      <c r="AK66" s="44">
        <f t="shared" si="44"/>
        <v>0.83400333601334398</v>
      </c>
      <c r="AL66" s="42"/>
      <c r="AM66" s="43">
        <f>833.33</f>
        <v>833.33</v>
      </c>
      <c r="AN66" s="43">
        <f t="shared" si="45"/>
        <v>-833.33</v>
      </c>
      <c r="AO66" s="44">
        <f t="shared" si="46"/>
        <v>0</v>
      </c>
      <c r="AP66" s="42"/>
      <c r="AQ66" s="43">
        <f>833.33</f>
        <v>833.33</v>
      </c>
      <c r="AR66" s="43">
        <f t="shared" si="47"/>
        <v>-833.33</v>
      </c>
      <c r="AS66" s="44">
        <f t="shared" si="48"/>
        <v>0</v>
      </c>
      <c r="AT66" s="42"/>
      <c r="AU66" s="43">
        <f>833.37</f>
        <v>833.37</v>
      </c>
      <c r="AV66" s="43">
        <f t="shared" si="49"/>
        <v>-833.37</v>
      </c>
      <c r="AW66" s="44">
        <f t="shared" si="50"/>
        <v>0</v>
      </c>
      <c r="AX66" s="43">
        <f t="shared" si="54"/>
        <v>5560</v>
      </c>
      <c r="AY66" s="43">
        <f t="shared" si="54"/>
        <v>10000.000000000002</v>
      </c>
      <c r="AZ66" s="43">
        <f t="shared" si="52"/>
        <v>-4440.0000000000018</v>
      </c>
      <c r="BA66" s="44">
        <f t="shared" si="53"/>
        <v>0.55599999999999994</v>
      </c>
    </row>
    <row r="67" spans="1:53" x14ac:dyDescent="0.3">
      <c r="A67" s="41" t="s">
        <v>174</v>
      </c>
      <c r="B67" s="43">
        <f>2775.5</f>
        <v>2775.5</v>
      </c>
      <c r="C67" s="43">
        <f>1125</f>
        <v>1125</v>
      </c>
      <c r="D67" s="43">
        <f t="shared" si="27"/>
        <v>1650.5</v>
      </c>
      <c r="E67" s="44">
        <f t="shared" si="28"/>
        <v>2.467111111111111</v>
      </c>
      <c r="F67" s="43">
        <f>640</f>
        <v>640</v>
      </c>
      <c r="G67" s="43">
        <f>1125</f>
        <v>1125</v>
      </c>
      <c r="H67" s="43">
        <f t="shared" si="29"/>
        <v>-485</v>
      </c>
      <c r="I67" s="44">
        <f t="shared" si="30"/>
        <v>0.56888888888888889</v>
      </c>
      <c r="J67" s="42"/>
      <c r="K67" s="43">
        <f>1125</f>
        <v>1125</v>
      </c>
      <c r="L67" s="43">
        <f t="shared" si="31"/>
        <v>-1125</v>
      </c>
      <c r="M67" s="44">
        <f t="shared" si="32"/>
        <v>0</v>
      </c>
      <c r="N67" s="42"/>
      <c r="O67" s="43">
        <f>1125</f>
        <v>1125</v>
      </c>
      <c r="P67" s="43">
        <f t="shared" si="33"/>
        <v>-1125</v>
      </c>
      <c r="Q67" s="44">
        <f t="shared" si="34"/>
        <v>0</v>
      </c>
      <c r="R67" s="43">
        <f>450</f>
        <v>450</v>
      </c>
      <c r="S67" s="43">
        <f>1125</f>
        <v>1125</v>
      </c>
      <c r="T67" s="43">
        <f t="shared" si="35"/>
        <v>-675</v>
      </c>
      <c r="U67" s="44">
        <f t="shared" si="36"/>
        <v>0.4</v>
      </c>
      <c r="V67" s="43">
        <f>90</f>
        <v>90</v>
      </c>
      <c r="W67" s="43">
        <f>1125</f>
        <v>1125</v>
      </c>
      <c r="X67" s="43">
        <f t="shared" si="37"/>
        <v>-1035</v>
      </c>
      <c r="Y67" s="44">
        <f t="shared" si="38"/>
        <v>0.08</v>
      </c>
      <c r="Z67" s="42"/>
      <c r="AA67" s="43">
        <f>1125</f>
        <v>1125</v>
      </c>
      <c r="AB67" s="43">
        <f t="shared" si="39"/>
        <v>-1125</v>
      </c>
      <c r="AC67" s="44">
        <f t="shared" si="40"/>
        <v>0</v>
      </c>
      <c r="AD67" s="42"/>
      <c r="AE67" s="43">
        <f>1125</f>
        <v>1125</v>
      </c>
      <c r="AF67" s="43">
        <f t="shared" si="41"/>
        <v>-1125</v>
      </c>
      <c r="AG67" s="44">
        <f t="shared" si="42"/>
        <v>0</v>
      </c>
      <c r="AH67" s="42"/>
      <c r="AI67" s="43">
        <f>1125</f>
        <v>1125</v>
      </c>
      <c r="AJ67" s="43">
        <f t="shared" si="43"/>
        <v>-1125</v>
      </c>
      <c r="AK67" s="44">
        <f t="shared" si="44"/>
        <v>0</v>
      </c>
      <c r="AL67" s="42"/>
      <c r="AM67" s="43">
        <f>1125</f>
        <v>1125</v>
      </c>
      <c r="AN67" s="43">
        <f t="shared" si="45"/>
        <v>-1125</v>
      </c>
      <c r="AO67" s="44">
        <f t="shared" si="46"/>
        <v>0</v>
      </c>
      <c r="AP67" s="42"/>
      <c r="AQ67" s="43">
        <f>1125</f>
        <v>1125</v>
      </c>
      <c r="AR67" s="43">
        <f t="shared" si="47"/>
        <v>-1125</v>
      </c>
      <c r="AS67" s="44">
        <f t="shared" si="48"/>
        <v>0</v>
      </c>
      <c r="AT67" s="42"/>
      <c r="AU67" s="43">
        <f>1125</f>
        <v>1125</v>
      </c>
      <c r="AV67" s="43">
        <f t="shared" si="49"/>
        <v>-1125</v>
      </c>
      <c r="AW67" s="44">
        <f t="shared" si="50"/>
        <v>0</v>
      </c>
      <c r="AX67" s="43">
        <f t="shared" si="54"/>
        <v>3955.5</v>
      </c>
      <c r="AY67" s="43">
        <f t="shared" si="54"/>
        <v>13500</v>
      </c>
      <c r="AZ67" s="43">
        <f t="shared" si="52"/>
        <v>-9544.5</v>
      </c>
      <c r="BA67" s="44">
        <f t="shared" si="53"/>
        <v>0.29299999999999998</v>
      </c>
    </row>
    <row r="68" spans="1:53" x14ac:dyDescent="0.3">
      <c r="A68" s="41" t="s">
        <v>175</v>
      </c>
      <c r="B68" s="43">
        <f>172.32</f>
        <v>172.32</v>
      </c>
      <c r="C68" s="43">
        <f>2083.33</f>
        <v>2083.33</v>
      </c>
      <c r="D68" s="43">
        <f t="shared" si="27"/>
        <v>-1911.01</v>
      </c>
      <c r="E68" s="44">
        <f t="shared" si="28"/>
        <v>8.2713732341971741E-2</v>
      </c>
      <c r="F68" s="43">
        <f>150</f>
        <v>150</v>
      </c>
      <c r="G68" s="43">
        <f>2083.33</f>
        <v>2083.33</v>
      </c>
      <c r="H68" s="43">
        <f t="shared" si="29"/>
        <v>-1933.33</v>
      </c>
      <c r="I68" s="44">
        <f t="shared" si="30"/>
        <v>7.2000115200184317E-2</v>
      </c>
      <c r="J68" s="43">
        <f>422</f>
        <v>422</v>
      </c>
      <c r="K68" s="43">
        <f>2083.33</f>
        <v>2083.33</v>
      </c>
      <c r="L68" s="43">
        <f t="shared" si="31"/>
        <v>-1661.33</v>
      </c>
      <c r="M68" s="44">
        <f t="shared" si="32"/>
        <v>0.20256032409651856</v>
      </c>
      <c r="N68" s="43">
        <f>2612.75</f>
        <v>2612.75</v>
      </c>
      <c r="O68" s="43">
        <f>2083.33</f>
        <v>2083.33</v>
      </c>
      <c r="P68" s="43">
        <f t="shared" si="33"/>
        <v>529.42000000000007</v>
      </c>
      <c r="Q68" s="44">
        <f t="shared" si="34"/>
        <v>1.2541220065952106</v>
      </c>
      <c r="R68" s="42"/>
      <c r="S68" s="43">
        <f>2083.33</f>
        <v>2083.33</v>
      </c>
      <c r="T68" s="43">
        <f t="shared" si="35"/>
        <v>-2083.33</v>
      </c>
      <c r="U68" s="44">
        <f t="shared" si="36"/>
        <v>0</v>
      </c>
      <c r="V68" s="43">
        <f>510.07</f>
        <v>510.07</v>
      </c>
      <c r="W68" s="43">
        <f>2083.33</f>
        <v>2083.33</v>
      </c>
      <c r="X68" s="43">
        <f t="shared" si="37"/>
        <v>-1573.26</v>
      </c>
      <c r="Y68" s="44">
        <f t="shared" si="38"/>
        <v>0.24483399173438677</v>
      </c>
      <c r="Z68" s="43">
        <f>122.31</f>
        <v>122.31</v>
      </c>
      <c r="AA68" s="43">
        <f>2083.33</f>
        <v>2083.33</v>
      </c>
      <c r="AB68" s="43">
        <f t="shared" si="39"/>
        <v>-1961.02</v>
      </c>
      <c r="AC68" s="44">
        <f t="shared" si="40"/>
        <v>5.8708893934230295E-2</v>
      </c>
      <c r="AD68" s="43">
        <f>24</f>
        <v>24</v>
      </c>
      <c r="AE68" s="43">
        <f>2083.33</f>
        <v>2083.33</v>
      </c>
      <c r="AF68" s="43">
        <f t="shared" si="41"/>
        <v>-2059.33</v>
      </c>
      <c r="AG68" s="44">
        <f t="shared" si="42"/>
        <v>1.1520018432029492E-2</v>
      </c>
      <c r="AH68" s="42"/>
      <c r="AI68" s="43">
        <f>2083.33</f>
        <v>2083.33</v>
      </c>
      <c r="AJ68" s="43">
        <f t="shared" si="43"/>
        <v>-2083.33</v>
      </c>
      <c r="AK68" s="44">
        <f t="shared" si="44"/>
        <v>0</v>
      </c>
      <c r="AL68" s="42"/>
      <c r="AM68" s="43">
        <f>2083.33</f>
        <v>2083.33</v>
      </c>
      <c r="AN68" s="43">
        <f t="shared" si="45"/>
        <v>-2083.33</v>
      </c>
      <c r="AO68" s="44">
        <f t="shared" si="46"/>
        <v>0</v>
      </c>
      <c r="AP68" s="42"/>
      <c r="AQ68" s="43">
        <f>2083.33</f>
        <v>2083.33</v>
      </c>
      <c r="AR68" s="43">
        <f t="shared" si="47"/>
        <v>-2083.33</v>
      </c>
      <c r="AS68" s="44">
        <f t="shared" si="48"/>
        <v>0</v>
      </c>
      <c r="AT68" s="42"/>
      <c r="AU68" s="43">
        <f>2083.37</f>
        <v>2083.37</v>
      </c>
      <c r="AV68" s="43">
        <f t="shared" si="49"/>
        <v>-2083.37</v>
      </c>
      <c r="AW68" s="44">
        <f t="shared" si="50"/>
        <v>0</v>
      </c>
      <c r="AX68" s="43">
        <f t="shared" si="54"/>
        <v>4013.45</v>
      </c>
      <c r="AY68" s="43">
        <f t="shared" si="54"/>
        <v>25000.000000000004</v>
      </c>
      <c r="AZ68" s="43">
        <f t="shared" si="52"/>
        <v>-20986.550000000003</v>
      </c>
      <c r="BA68" s="44">
        <f t="shared" si="53"/>
        <v>0.16053799999999996</v>
      </c>
    </row>
    <row r="69" spans="1:53" x14ac:dyDescent="0.3">
      <c r="A69" s="41" t="s">
        <v>176</v>
      </c>
      <c r="B69" s="43">
        <f>307.07</f>
        <v>307.07</v>
      </c>
      <c r="C69" s="43">
        <f>291.67</f>
        <v>291.67</v>
      </c>
      <c r="D69" s="43">
        <f t="shared" si="27"/>
        <v>15.399999999999977</v>
      </c>
      <c r="E69" s="44">
        <f t="shared" si="28"/>
        <v>1.0527993965783247</v>
      </c>
      <c r="F69" s="42"/>
      <c r="G69" s="43">
        <f>291.67</f>
        <v>291.67</v>
      </c>
      <c r="H69" s="43">
        <f t="shared" si="29"/>
        <v>-291.67</v>
      </c>
      <c r="I69" s="44">
        <f t="shared" si="30"/>
        <v>0</v>
      </c>
      <c r="J69" s="42"/>
      <c r="K69" s="43">
        <f>291.67</f>
        <v>291.67</v>
      </c>
      <c r="L69" s="43">
        <f t="shared" si="31"/>
        <v>-291.67</v>
      </c>
      <c r="M69" s="44">
        <f t="shared" si="32"/>
        <v>0</v>
      </c>
      <c r="N69" s="43">
        <f>307.07</f>
        <v>307.07</v>
      </c>
      <c r="O69" s="43">
        <f>291.67</f>
        <v>291.67</v>
      </c>
      <c r="P69" s="43">
        <f t="shared" si="33"/>
        <v>15.399999999999977</v>
      </c>
      <c r="Q69" s="44">
        <f t="shared" si="34"/>
        <v>1.0527993965783247</v>
      </c>
      <c r="R69" s="42"/>
      <c r="S69" s="43">
        <f>291.67</f>
        <v>291.67</v>
      </c>
      <c r="T69" s="43">
        <f t="shared" si="35"/>
        <v>-291.67</v>
      </c>
      <c r="U69" s="44">
        <f t="shared" si="36"/>
        <v>0</v>
      </c>
      <c r="V69" s="43">
        <f>307.07</f>
        <v>307.07</v>
      </c>
      <c r="W69" s="43">
        <f>291.67</f>
        <v>291.67</v>
      </c>
      <c r="X69" s="43">
        <f t="shared" si="37"/>
        <v>15.399999999999977</v>
      </c>
      <c r="Y69" s="44">
        <f t="shared" si="38"/>
        <v>1.0527993965783247</v>
      </c>
      <c r="Z69" s="42"/>
      <c r="AA69" s="43">
        <f>291.67</f>
        <v>291.67</v>
      </c>
      <c r="AB69" s="43">
        <f t="shared" si="39"/>
        <v>-291.67</v>
      </c>
      <c r="AC69" s="44">
        <f t="shared" si="40"/>
        <v>0</v>
      </c>
      <c r="AD69" s="42"/>
      <c r="AE69" s="43">
        <f>291.67</f>
        <v>291.67</v>
      </c>
      <c r="AF69" s="43">
        <f t="shared" si="41"/>
        <v>-291.67</v>
      </c>
      <c r="AG69" s="44">
        <f t="shared" si="42"/>
        <v>0</v>
      </c>
      <c r="AH69" s="43">
        <f>330.1</f>
        <v>330.1</v>
      </c>
      <c r="AI69" s="43">
        <f>291.67</f>
        <v>291.67</v>
      </c>
      <c r="AJ69" s="43">
        <f t="shared" si="43"/>
        <v>38.430000000000007</v>
      </c>
      <c r="AK69" s="44">
        <f t="shared" si="44"/>
        <v>1.1317584941886378</v>
      </c>
      <c r="AL69" s="42"/>
      <c r="AM69" s="43">
        <f>291.67</f>
        <v>291.67</v>
      </c>
      <c r="AN69" s="43">
        <f t="shared" si="45"/>
        <v>-291.67</v>
      </c>
      <c r="AO69" s="44">
        <f t="shared" si="46"/>
        <v>0</v>
      </c>
      <c r="AP69" s="42"/>
      <c r="AQ69" s="43">
        <f>291.67</f>
        <v>291.67</v>
      </c>
      <c r="AR69" s="43">
        <f t="shared" si="47"/>
        <v>-291.67</v>
      </c>
      <c r="AS69" s="44">
        <f t="shared" si="48"/>
        <v>0</v>
      </c>
      <c r="AT69" s="42"/>
      <c r="AU69" s="43">
        <f>291.63</f>
        <v>291.63</v>
      </c>
      <c r="AV69" s="43">
        <f t="shared" si="49"/>
        <v>-291.63</v>
      </c>
      <c r="AW69" s="44">
        <f t="shared" si="50"/>
        <v>0</v>
      </c>
      <c r="AX69" s="43">
        <f t="shared" si="54"/>
        <v>1251.31</v>
      </c>
      <c r="AY69" s="43">
        <f t="shared" si="54"/>
        <v>3500.0000000000005</v>
      </c>
      <c r="AZ69" s="43">
        <f t="shared" si="52"/>
        <v>-2248.6900000000005</v>
      </c>
      <c r="BA69" s="44">
        <f t="shared" si="53"/>
        <v>0.35751714285714281</v>
      </c>
    </row>
    <row r="70" spans="1:53" x14ac:dyDescent="0.3">
      <c r="A70" s="41" t="s">
        <v>177</v>
      </c>
      <c r="B70" s="42"/>
      <c r="C70" s="43">
        <f>183.33</f>
        <v>183.33</v>
      </c>
      <c r="D70" s="43">
        <f t="shared" si="27"/>
        <v>-183.33</v>
      </c>
      <c r="E70" s="44">
        <f t="shared" si="28"/>
        <v>0</v>
      </c>
      <c r="F70" s="42"/>
      <c r="G70" s="43">
        <f>183.33</f>
        <v>183.33</v>
      </c>
      <c r="H70" s="43">
        <f t="shared" si="29"/>
        <v>-183.33</v>
      </c>
      <c r="I70" s="44">
        <f t="shared" si="30"/>
        <v>0</v>
      </c>
      <c r="J70" s="42"/>
      <c r="K70" s="43">
        <f>183.33</f>
        <v>183.33</v>
      </c>
      <c r="L70" s="43">
        <f t="shared" si="31"/>
        <v>-183.33</v>
      </c>
      <c r="M70" s="44">
        <f t="shared" si="32"/>
        <v>0</v>
      </c>
      <c r="N70" s="43">
        <f>390.2</f>
        <v>390.2</v>
      </c>
      <c r="O70" s="43">
        <f>183.33</f>
        <v>183.33</v>
      </c>
      <c r="P70" s="43">
        <f t="shared" si="33"/>
        <v>206.86999999999998</v>
      </c>
      <c r="Q70" s="44">
        <f t="shared" si="34"/>
        <v>2.1284023345879013</v>
      </c>
      <c r="R70" s="43">
        <f>266.53</f>
        <v>266.52999999999997</v>
      </c>
      <c r="S70" s="43">
        <f>183.33</f>
        <v>183.33</v>
      </c>
      <c r="T70" s="43">
        <f t="shared" si="35"/>
        <v>83.19999999999996</v>
      </c>
      <c r="U70" s="44">
        <f t="shared" si="36"/>
        <v>1.4538264332078763</v>
      </c>
      <c r="V70" s="43">
        <f>137.34</f>
        <v>137.34</v>
      </c>
      <c r="W70" s="43">
        <f>183.33</f>
        <v>183.33</v>
      </c>
      <c r="X70" s="43">
        <f t="shared" si="37"/>
        <v>-45.990000000000009</v>
      </c>
      <c r="Y70" s="44">
        <f t="shared" si="38"/>
        <v>0.74914089347079038</v>
      </c>
      <c r="Z70" s="42"/>
      <c r="AA70" s="43">
        <f>183.33</f>
        <v>183.33</v>
      </c>
      <c r="AB70" s="43">
        <f t="shared" si="39"/>
        <v>-183.33</v>
      </c>
      <c r="AC70" s="44">
        <f t="shared" si="40"/>
        <v>0</v>
      </c>
      <c r="AD70" s="42"/>
      <c r="AE70" s="43">
        <f>183.33</f>
        <v>183.33</v>
      </c>
      <c r="AF70" s="43">
        <f t="shared" si="41"/>
        <v>-183.33</v>
      </c>
      <c r="AG70" s="44">
        <f t="shared" si="42"/>
        <v>0</v>
      </c>
      <c r="AH70" s="42"/>
      <c r="AI70" s="43">
        <f>183.33</f>
        <v>183.33</v>
      </c>
      <c r="AJ70" s="43">
        <f t="shared" si="43"/>
        <v>-183.33</v>
      </c>
      <c r="AK70" s="44">
        <f t="shared" si="44"/>
        <v>0</v>
      </c>
      <c r="AL70" s="42"/>
      <c r="AM70" s="43">
        <f>183.33</f>
        <v>183.33</v>
      </c>
      <c r="AN70" s="43">
        <f t="shared" si="45"/>
        <v>-183.33</v>
      </c>
      <c r="AO70" s="44">
        <f t="shared" si="46"/>
        <v>0</v>
      </c>
      <c r="AP70" s="42"/>
      <c r="AQ70" s="43">
        <f>183.33</f>
        <v>183.33</v>
      </c>
      <c r="AR70" s="43">
        <f t="shared" si="47"/>
        <v>-183.33</v>
      </c>
      <c r="AS70" s="44">
        <f t="shared" si="48"/>
        <v>0</v>
      </c>
      <c r="AT70" s="42"/>
      <c r="AU70" s="43">
        <f>183.37</f>
        <v>183.37</v>
      </c>
      <c r="AV70" s="43">
        <f t="shared" si="49"/>
        <v>-183.37</v>
      </c>
      <c r="AW70" s="44">
        <f t="shared" si="50"/>
        <v>0</v>
      </c>
      <c r="AX70" s="43">
        <f t="shared" si="54"/>
        <v>794.07</v>
      </c>
      <c r="AY70" s="43">
        <f t="shared" si="54"/>
        <v>2199.9999999999995</v>
      </c>
      <c r="AZ70" s="43">
        <f t="shared" si="52"/>
        <v>-1405.9299999999994</v>
      </c>
      <c r="BA70" s="44">
        <f t="shared" si="53"/>
        <v>0.3609409090909092</v>
      </c>
    </row>
    <row r="71" spans="1:53" x14ac:dyDescent="0.3">
      <c r="A71" s="41" t="s">
        <v>178</v>
      </c>
      <c r="B71" s="42"/>
      <c r="C71" s="43">
        <f>100</f>
        <v>100</v>
      </c>
      <c r="D71" s="43">
        <f t="shared" si="27"/>
        <v>-100</v>
      </c>
      <c r="E71" s="44">
        <f t="shared" si="28"/>
        <v>0</v>
      </c>
      <c r="F71" s="42"/>
      <c r="G71" s="43">
        <f>100</f>
        <v>100</v>
      </c>
      <c r="H71" s="43">
        <f t="shared" si="29"/>
        <v>-100</v>
      </c>
      <c r="I71" s="44">
        <f t="shared" si="30"/>
        <v>0</v>
      </c>
      <c r="J71" s="42"/>
      <c r="K71" s="43">
        <f>100</f>
        <v>100</v>
      </c>
      <c r="L71" s="43">
        <f t="shared" si="31"/>
        <v>-100</v>
      </c>
      <c r="M71" s="44">
        <f t="shared" si="32"/>
        <v>0</v>
      </c>
      <c r="N71" s="42"/>
      <c r="O71" s="43">
        <f>100</f>
        <v>100</v>
      </c>
      <c r="P71" s="43">
        <f t="shared" si="33"/>
        <v>-100</v>
      </c>
      <c r="Q71" s="44">
        <f t="shared" si="34"/>
        <v>0</v>
      </c>
      <c r="R71" s="42"/>
      <c r="S71" s="43">
        <f>100</f>
        <v>100</v>
      </c>
      <c r="T71" s="43">
        <f t="shared" si="35"/>
        <v>-100</v>
      </c>
      <c r="U71" s="44">
        <f t="shared" si="36"/>
        <v>0</v>
      </c>
      <c r="V71" s="42"/>
      <c r="W71" s="43">
        <f>100</f>
        <v>100</v>
      </c>
      <c r="X71" s="43">
        <f t="shared" si="37"/>
        <v>-100</v>
      </c>
      <c r="Y71" s="44">
        <f t="shared" si="38"/>
        <v>0</v>
      </c>
      <c r="Z71" s="42"/>
      <c r="AA71" s="43">
        <f>100</f>
        <v>100</v>
      </c>
      <c r="AB71" s="43">
        <f t="shared" si="39"/>
        <v>-100</v>
      </c>
      <c r="AC71" s="44">
        <f t="shared" si="40"/>
        <v>0</v>
      </c>
      <c r="AD71" s="42"/>
      <c r="AE71" s="43">
        <f>100</f>
        <v>100</v>
      </c>
      <c r="AF71" s="43">
        <f t="shared" si="41"/>
        <v>-100</v>
      </c>
      <c r="AG71" s="44">
        <f t="shared" si="42"/>
        <v>0</v>
      </c>
      <c r="AH71" s="43">
        <f>1037</f>
        <v>1037</v>
      </c>
      <c r="AI71" s="43">
        <f>100</f>
        <v>100</v>
      </c>
      <c r="AJ71" s="43">
        <f t="shared" si="43"/>
        <v>937</v>
      </c>
      <c r="AK71" s="44">
        <f t="shared" si="44"/>
        <v>10.37</v>
      </c>
      <c r="AL71" s="42"/>
      <c r="AM71" s="43">
        <f>100</f>
        <v>100</v>
      </c>
      <c r="AN71" s="43">
        <f t="shared" si="45"/>
        <v>-100</v>
      </c>
      <c r="AO71" s="44">
        <f t="shared" si="46"/>
        <v>0</v>
      </c>
      <c r="AP71" s="42"/>
      <c r="AQ71" s="43">
        <f>100</f>
        <v>100</v>
      </c>
      <c r="AR71" s="43">
        <f t="shared" si="47"/>
        <v>-100</v>
      </c>
      <c r="AS71" s="44">
        <f t="shared" si="48"/>
        <v>0</v>
      </c>
      <c r="AT71" s="42"/>
      <c r="AU71" s="43">
        <f>100</f>
        <v>100</v>
      </c>
      <c r="AV71" s="43">
        <f t="shared" si="49"/>
        <v>-100</v>
      </c>
      <c r="AW71" s="44">
        <f t="shared" si="50"/>
        <v>0</v>
      </c>
      <c r="AX71" s="43">
        <f t="shared" si="54"/>
        <v>1037</v>
      </c>
      <c r="AY71" s="43">
        <f t="shared" si="54"/>
        <v>1200</v>
      </c>
      <c r="AZ71" s="43">
        <f t="shared" si="52"/>
        <v>-163</v>
      </c>
      <c r="BA71" s="44">
        <f t="shared" si="53"/>
        <v>0.86416666666666664</v>
      </c>
    </row>
    <row r="72" spans="1:53" x14ac:dyDescent="0.3">
      <c r="A72" s="41" t="s">
        <v>179</v>
      </c>
      <c r="B72" s="45">
        <f>(((((((B64)+(B65))+(B66))+(B67))+(B68))+(B69))+(B70))+(B71)</f>
        <v>3254.8900000000003</v>
      </c>
      <c r="C72" s="45">
        <f>(((((((C64)+(C65))+(C66))+(C67))+(C68))+(C69))+(C70))+(C71)</f>
        <v>4866.66</v>
      </c>
      <c r="D72" s="45">
        <f t="shared" si="27"/>
        <v>-1611.7699999999995</v>
      </c>
      <c r="E72" s="46">
        <f t="shared" si="28"/>
        <v>0.66881392988209587</v>
      </c>
      <c r="F72" s="45">
        <f>(((((((F64)+(F65))+(F66))+(F67))+(F68))+(F69))+(F70))+(F71)</f>
        <v>2180</v>
      </c>
      <c r="G72" s="45">
        <f>(((((((G64)+(G65))+(G66))+(G67))+(G68))+(G69))+(G70))+(G71)</f>
        <v>4866.66</v>
      </c>
      <c r="H72" s="45">
        <f t="shared" si="29"/>
        <v>-2686.66</v>
      </c>
      <c r="I72" s="46">
        <f t="shared" si="30"/>
        <v>0.44794581910386178</v>
      </c>
      <c r="J72" s="45">
        <f>(((((((J64)+(J65))+(J66))+(J67))+(J68))+(J69))+(J70))+(J71)</f>
        <v>1117</v>
      </c>
      <c r="K72" s="45">
        <f>(((((((K64)+(K65))+(K66))+(K67))+(K68))+(K69))+(K70))+(K71)</f>
        <v>4866.66</v>
      </c>
      <c r="L72" s="45">
        <f t="shared" si="31"/>
        <v>-3749.66</v>
      </c>
      <c r="M72" s="46">
        <f t="shared" si="32"/>
        <v>0.2295208623573457</v>
      </c>
      <c r="N72" s="45">
        <f>(((((((N64)+(N65))+(N66))+(N67))+(N68))+(N69))+(N70))+(N71)</f>
        <v>3310.02</v>
      </c>
      <c r="O72" s="45">
        <f>(((((((O64)+(O65))+(O66))+(O67))+(O68))+(O69))+(O70))+(O71)</f>
        <v>4866.66</v>
      </c>
      <c r="P72" s="45">
        <f t="shared" si="33"/>
        <v>-1556.6399999999999</v>
      </c>
      <c r="Q72" s="46">
        <f t="shared" si="34"/>
        <v>0.68014202759181863</v>
      </c>
      <c r="R72" s="45">
        <f>(((((((R64)+(R65))+(R66))+(R67))+(R68))+(R69))+(R70))+(R71)</f>
        <v>2106.5299999999997</v>
      </c>
      <c r="S72" s="45">
        <f>(((((((S64)+(S65))+(S66))+(S67))+(S68))+(S69))+(S70))+(S71)</f>
        <v>4866.66</v>
      </c>
      <c r="T72" s="45">
        <f t="shared" si="35"/>
        <v>-2760.13</v>
      </c>
      <c r="U72" s="46">
        <f t="shared" si="36"/>
        <v>0.43284922308112744</v>
      </c>
      <c r="V72" s="45">
        <f>(((((((V64)+(V65))+(V66))+(V67))+(V68))+(V69))+(V70))+(V71)</f>
        <v>1739.4799999999998</v>
      </c>
      <c r="W72" s="45">
        <f>(((((((W64)+(W65))+(W66))+(W67))+(W68))+(W69))+(W70))+(W71)</f>
        <v>4866.66</v>
      </c>
      <c r="X72" s="45">
        <f t="shared" si="37"/>
        <v>-3127.1800000000003</v>
      </c>
      <c r="Y72" s="46">
        <f t="shared" si="38"/>
        <v>0.35742788688751626</v>
      </c>
      <c r="Z72" s="45">
        <f>(((((((Z64)+(Z65))+(Z66))+(Z67))+(Z68))+(Z69))+(Z70))+(Z71)</f>
        <v>122.31</v>
      </c>
      <c r="AA72" s="45">
        <f>(((((((AA64)+(AA65))+(AA66))+(AA67))+(AA68))+(AA69))+(AA70))+(AA71)</f>
        <v>4866.66</v>
      </c>
      <c r="AB72" s="45">
        <f t="shared" si="39"/>
        <v>-4744.3499999999995</v>
      </c>
      <c r="AC72" s="46">
        <f t="shared" si="40"/>
        <v>2.5132226208529056E-2</v>
      </c>
      <c r="AD72" s="45">
        <f>(((((((AD64)+(AD65))+(AD66))+(AD67))+(AD68))+(AD69))+(AD70))+(AD71)</f>
        <v>719</v>
      </c>
      <c r="AE72" s="45">
        <f>(((((((AE64)+(AE65))+(AE66))+(AE67))+(AE68))+(AE69))+(AE70))+(AE71)</f>
        <v>4866.66</v>
      </c>
      <c r="AF72" s="45">
        <f t="shared" si="41"/>
        <v>-4147.66</v>
      </c>
      <c r="AG72" s="46">
        <f t="shared" si="42"/>
        <v>0.14773992841086084</v>
      </c>
      <c r="AH72" s="45">
        <f>(((((((AH64)+(AH65))+(AH66))+(AH67))+(AH68))+(AH69))+(AH70))+(AH71)</f>
        <v>2762.1</v>
      </c>
      <c r="AI72" s="45">
        <f>(((((((AI64)+(AI65))+(AI66))+(AI67))+(AI68))+(AI69))+(AI70))+(AI71)</f>
        <v>4866.66</v>
      </c>
      <c r="AJ72" s="45">
        <f t="shared" si="43"/>
        <v>-2104.56</v>
      </c>
      <c r="AK72" s="46">
        <f t="shared" si="44"/>
        <v>0.56755557199393425</v>
      </c>
      <c r="AL72" s="45">
        <f>(((((((AL64)+(AL65))+(AL66))+(AL67))+(AL68))+(AL69))+(AL70))+(AL71)</f>
        <v>0</v>
      </c>
      <c r="AM72" s="45">
        <f>(((((((AM64)+(AM65))+(AM66))+(AM67))+(AM68))+(AM69))+(AM70))+(AM71)</f>
        <v>4866.66</v>
      </c>
      <c r="AN72" s="45">
        <f t="shared" si="45"/>
        <v>-4866.66</v>
      </c>
      <c r="AO72" s="46">
        <f t="shared" si="46"/>
        <v>0</v>
      </c>
      <c r="AP72" s="45">
        <f>(((((((AP64)+(AP65))+(AP66))+(AP67))+(AP68))+(AP69))+(AP70))+(AP71)</f>
        <v>0</v>
      </c>
      <c r="AQ72" s="45">
        <f>(((((((AQ64)+(AQ65))+(AQ66))+(AQ67))+(AQ68))+(AQ69))+(AQ70))+(AQ71)</f>
        <v>4866.66</v>
      </c>
      <c r="AR72" s="45">
        <f t="shared" si="47"/>
        <v>-4866.66</v>
      </c>
      <c r="AS72" s="46">
        <f t="shared" si="48"/>
        <v>0</v>
      </c>
      <c r="AT72" s="45">
        <f>(((((((AT64)+(AT65))+(AT66))+(AT67))+(AT68))+(AT69))+(AT70))+(AT71)</f>
        <v>0</v>
      </c>
      <c r="AU72" s="45">
        <f>(((((((AU64)+(AU65))+(AU66))+(AU67))+(AU68))+(AU69))+(AU70))+(AU71)</f>
        <v>4866.74</v>
      </c>
      <c r="AV72" s="45">
        <f t="shared" si="49"/>
        <v>-4866.74</v>
      </c>
      <c r="AW72" s="46">
        <f t="shared" si="50"/>
        <v>0</v>
      </c>
      <c r="AX72" s="45">
        <f t="shared" si="54"/>
        <v>17311.329999999998</v>
      </c>
      <c r="AY72" s="45">
        <f t="shared" si="54"/>
        <v>58400.000000000007</v>
      </c>
      <c r="AZ72" s="45">
        <f t="shared" si="52"/>
        <v>-41088.670000000013</v>
      </c>
      <c r="BA72" s="46">
        <f t="shared" si="53"/>
        <v>0.29642688356164376</v>
      </c>
    </row>
    <row r="73" spans="1:53" x14ac:dyDescent="0.3">
      <c r="A73" s="41" t="s">
        <v>180</v>
      </c>
      <c r="B73" s="42"/>
      <c r="C73" s="43">
        <f>3541.67</f>
        <v>3541.67</v>
      </c>
      <c r="D73" s="43">
        <f t="shared" si="27"/>
        <v>-3541.67</v>
      </c>
      <c r="E73" s="44">
        <f t="shared" si="28"/>
        <v>0</v>
      </c>
      <c r="F73" s="42"/>
      <c r="G73" s="43">
        <f>3541.67</f>
        <v>3541.67</v>
      </c>
      <c r="H73" s="43">
        <f t="shared" si="29"/>
        <v>-3541.67</v>
      </c>
      <c r="I73" s="44">
        <f t="shared" si="30"/>
        <v>0</v>
      </c>
      <c r="J73" s="42"/>
      <c r="K73" s="43">
        <f>3541.67</f>
        <v>3541.67</v>
      </c>
      <c r="L73" s="43">
        <f t="shared" si="31"/>
        <v>-3541.67</v>
      </c>
      <c r="M73" s="44">
        <f t="shared" si="32"/>
        <v>0</v>
      </c>
      <c r="N73" s="42"/>
      <c r="O73" s="43">
        <f>3541.67</f>
        <v>3541.67</v>
      </c>
      <c r="P73" s="43">
        <f t="shared" si="33"/>
        <v>-3541.67</v>
      </c>
      <c r="Q73" s="44">
        <f t="shared" si="34"/>
        <v>0</v>
      </c>
      <c r="R73" s="42"/>
      <c r="S73" s="43">
        <f>3541.67</f>
        <v>3541.67</v>
      </c>
      <c r="T73" s="43">
        <f t="shared" si="35"/>
        <v>-3541.67</v>
      </c>
      <c r="U73" s="44">
        <f t="shared" si="36"/>
        <v>0</v>
      </c>
      <c r="V73" s="42"/>
      <c r="W73" s="43">
        <f>3541.67</f>
        <v>3541.67</v>
      </c>
      <c r="X73" s="43">
        <f t="shared" si="37"/>
        <v>-3541.67</v>
      </c>
      <c r="Y73" s="44">
        <f t="shared" si="38"/>
        <v>0</v>
      </c>
      <c r="Z73" s="42"/>
      <c r="AA73" s="43">
        <f>3541.67</f>
        <v>3541.67</v>
      </c>
      <c r="AB73" s="43">
        <f t="shared" si="39"/>
        <v>-3541.67</v>
      </c>
      <c r="AC73" s="44">
        <f t="shared" si="40"/>
        <v>0</v>
      </c>
      <c r="AD73" s="42"/>
      <c r="AE73" s="43">
        <f>3541.67</f>
        <v>3541.67</v>
      </c>
      <c r="AF73" s="43">
        <f t="shared" si="41"/>
        <v>-3541.67</v>
      </c>
      <c r="AG73" s="44">
        <f t="shared" si="42"/>
        <v>0</v>
      </c>
      <c r="AH73" s="42"/>
      <c r="AI73" s="43">
        <f>3541.67</f>
        <v>3541.67</v>
      </c>
      <c r="AJ73" s="43">
        <f t="shared" si="43"/>
        <v>-3541.67</v>
      </c>
      <c r="AK73" s="44">
        <f t="shared" si="44"/>
        <v>0</v>
      </c>
      <c r="AL73" s="42"/>
      <c r="AM73" s="43">
        <f>3541.67</f>
        <v>3541.67</v>
      </c>
      <c r="AN73" s="43">
        <f t="shared" si="45"/>
        <v>-3541.67</v>
      </c>
      <c r="AO73" s="44">
        <f t="shared" si="46"/>
        <v>0</v>
      </c>
      <c r="AP73" s="42"/>
      <c r="AQ73" s="43">
        <f>3541.67</f>
        <v>3541.67</v>
      </c>
      <c r="AR73" s="43">
        <f t="shared" si="47"/>
        <v>-3541.67</v>
      </c>
      <c r="AS73" s="44">
        <f t="shared" si="48"/>
        <v>0</v>
      </c>
      <c r="AT73" s="42"/>
      <c r="AU73" s="43">
        <f>3541.63</f>
        <v>3541.63</v>
      </c>
      <c r="AV73" s="43">
        <f t="shared" si="49"/>
        <v>-3541.63</v>
      </c>
      <c r="AW73" s="44">
        <f t="shared" si="50"/>
        <v>0</v>
      </c>
      <c r="AX73" s="43">
        <f t="shared" si="54"/>
        <v>0</v>
      </c>
      <c r="AY73" s="43">
        <f t="shared" si="54"/>
        <v>42499.999999999985</v>
      </c>
      <c r="AZ73" s="43">
        <f t="shared" si="52"/>
        <v>-42499.999999999985</v>
      </c>
      <c r="BA73" s="44">
        <f t="shared" si="53"/>
        <v>0</v>
      </c>
    </row>
    <row r="74" spans="1:53" x14ac:dyDescent="0.3">
      <c r="A74" s="41" t="s">
        <v>181</v>
      </c>
      <c r="B74" s="43">
        <f>1190.21</f>
        <v>1190.21</v>
      </c>
      <c r="C74" s="43">
        <f>1208.33</f>
        <v>1208.33</v>
      </c>
      <c r="D74" s="43">
        <f t="shared" si="27"/>
        <v>-18.119999999999891</v>
      </c>
      <c r="E74" s="44">
        <f t="shared" si="28"/>
        <v>0.98500409656302512</v>
      </c>
      <c r="F74" s="43">
        <f>1190.21</f>
        <v>1190.21</v>
      </c>
      <c r="G74" s="43">
        <f>1208.33</f>
        <v>1208.33</v>
      </c>
      <c r="H74" s="43">
        <f t="shared" si="29"/>
        <v>-18.119999999999891</v>
      </c>
      <c r="I74" s="44">
        <f t="shared" si="30"/>
        <v>0.98500409656302512</v>
      </c>
      <c r="J74" s="43">
        <f>1190.21</f>
        <v>1190.21</v>
      </c>
      <c r="K74" s="43">
        <f>1208.33</f>
        <v>1208.33</v>
      </c>
      <c r="L74" s="43">
        <f t="shared" si="31"/>
        <v>-18.119999999999891</v>
      </c>
      <c r="M74" s="44">
        <f t="shared" si="32"/>
        <v>0.98500409656302512</v>
      </c>
      <c r="N74" s="43">
        <f>1190.21</f>
        <v>1190.21</v>
      </c>
      <c r="O74" s="43">
        <f>1208.33</f>
        <v>1208.33</v>
      </c>
      <c r="P74" s="43">
        <f t="shared" si="33"/>
        <v>-18.119999999999891</v>
      </c>
      <c r="Q74" s="44">
        <f t="shared" si="34"/>
        <v>0.98500409656302512</v>
      </c>
      <c r="R74" s="43">
        <f>1190.21</f>
        <v>1190.21</v>
      </c>
      <c r="S74" s="43">
        <f>1208.33</f>
        <v>1208.33</v>
      </c>
      <c r="T74" s="43">
        <f t="shared" si="35"/>
        <v>-18.119999999999891</v>
      </c>
      <c r="U74" s="44">
        <f t="shared" si="36"/>
        <v>0.98500409656302512</v>
      </c>
      <c r="V74" s="43">
        <f>1190.21</f>
        <v>1190.21</v>
      </c>
      <c r="W74" s="43">
        <f>1208.33</f>
        <v>1208.33</v>
      </c>
      <c r="X74" s="43">
        <f t="shared" si="37"/>
        <v>-18.119999999999891</v>
      </c>
      <c r="Y74" s="44">
        <f t="shared" si="38"/>
        <v>0.98500409656302512</v>
      </c>
      <c r="Z74" s="43">
        <f>1190.21</f>
        <v>1190.21</v>
      </c>
      <c r="AA74" s="43">
        <f>1208.33</f>
        <v>1208.33</v>
      </c>
      <c r="AB74" s="43">
        <f t="shared" si="39"/>
        <v>-18.119999999999891</v>
      </c>
      <c r="AC74" s="44">
        <f t="shared" si="40"/>
        <v>0.98500409656302512</v>
      </c>
      <c r="AD74" s="43">
        <f>1190.21</f>
        <v>1190.21</v>
      </c>
      <c r="AE74" s="43">
        <f>1208.33</f>
        <v>1208.33</v>
      </c>
      <c r="AF74" s="43">
        <f t="shared" si="41"/>
        <v>-18.119999999999891</v>
      </c>
      <c r="AG74" s="44">
        <f t="shared" si="42"/>
        <v>0.98500409656302512</v>
      </c>
      <c r="AH74" s="43">
        <f>1190.21</f>
        <v>1190.21</v>
      </c>
      <c r="AI74" s="43">
        <f>1208.33</f>
        <v>1208.33</v>
      </c>
      <c r="AJ74" s="43">
        <f t="shared" si="43"/>
        <v>-18.119999999999891</v>
      </c>
      <c r="AK74" s="44">
        <f t="shared" si="44"/>
        <v>0.98500409656302512</v>
      </c>
      <c r="AL74" s="42"/>
      <c r="AM74" s="43">
        <f>1208.33</f>
        <v>1208.33</v>
      </c>
      <c r="AN74" s="43">
        <f t="shared" si="45"/>
        <v>-1208.33</v>
      </c>
      <c r="AO74" s="44">
        <f t="shared" si="46"/>
        <v>0</v>
      </c>
      <c r="AP74" s="42"/>
      <c r="AQ74" s="43">
        <f>1208.33</f>
        <v>1208.33</v>
      </c>
      <c r="AR74" s="43">
        <f t="shared" si="47"/>
        <v>-1208.33</v>
      </c>
      <c r="AS74" s="44">
        <f t="shared" si="48"/>
        <v>0</v>
      </c>
      <c r="AT74" s="42"/>
      <c r="AU74" s="43">
        <f>1208.37</f>
        <v>1208.3699999999999</v>
      </c>
      <c r="AV74" s="43">
        <f t="shared" si="49"/>
        <v>-1208.3699999999999</v>
      </c>
      <c r="AW74" s="44">
        <f t="shared" si="50"/>
        <v>0</v>
      </c>
      <c r="AX74" s="43">
        <f t="shared" si="54"/>
        <v>10711.89</v>
      </c>
      <c r="AY74" s="43">
        <f t="shared" si="54"/>
        <v>14500</v>
      </c>
      <c r="AZ74" s="43">
        <f t="shared" si="52"/>
        <v>-3788.1100000000006</v>
      </c>
      <c r="BA74" s="44">
        <f t="shared" si="53"/>
        <v>0.73875103448275858</v>
      </c>
    </row>
    <row r="75" spans="1:53" x14ac:dyDescent="0.3">
      <c r="A75" s="41" t="s">
        <v>182</v>
      </c>
      <c r="B75" s="43">
        <f>23</f>
        <v>23</v>
      </c>
      <c r="C75" s="43">
        <f>1000</f>
        <v>1000</v>
      </c>
      <c r="D75" s="43">
        <f t="shared" si="27"/>
        <v>-977</v>
      </c>
      <c r="E75" s="44">
        <f t="shared" si="28"/>
        <v>2.3E-2</v>
      </c>
      <c r="F75" s="43">
        <f>207.62</f>
        <v>207.62</v>
      </c>
      <c r="G75" s="43">
        <f>1000</f>
        <v>1000</v>
      </c>
      <c r="H75" s="43">
        <f t="shared" si="29"/>
        <v>-792.38</v>
      </c>
      <c r="I75" s="44">
        <f t="shared" si="30"/>
        <v>0.20762</v>
      </c>
      <c r="J75" s="43">
        <f>1345.94</f>
        <v>1345.94</v>
      </c>
      <c r="K75" s="43">
        <f>1000</f>
        <v>1000</v>
      </c>
      <c r="L75" s="43">
        <f t="shared" si="31"/>
        <v>345.94000000000005</v>
      </c>
      <c r="M75" s="44">
        <f t="shared" si="32"/>
        <v>1.3459400000000001</v>
      </c>
      <c r="N75" s="43">
        <f>1605.54</f>
        <v>1605.54</v>
      </c>
      <c r="O75" s="43">
        <f>1000</f>
        <v>1000</v>
      </c>
      <c r="P75" s="43">
        <f t="shared" si="33"/>
        <v>605.54</v>
      </c>
      <c r="Q75" s="44">
        <f t="shared" si="34"/>
        <v>1.60554</v>
      </c>
      <c r="R75" s="43">
        <f>1378.67</f>
        <v>1378.67</v>
      </c>
      <c r="S75" s="43">
        <f>1000</f>
        <v>1000</v>
      </c>
      <c r="T75" s="43">
        <f t="shared" si="35"/>
        <v>378.67000000000007</v>
      </c>
      <c r="U75" s="44">
        <f t="shared" si="36"/>
        <v>1.3786700000000001</v>
      </c>
      <c r="V75" s="43">
        <f>62.29</f>
        <v>62.29</v>
      </c>
      <c r="W75" s="43">
        <f>1000</f>
        <v>1000</v>
      </c>
      <c r="X75" s="43">
        <f t="shared" si="37"/>
        <v>-937.71</v>
      </c>
      <c r="Y75" s="44">
        <f t="shared" si="38"/>
        <v>6.2289999999999998E-2</v>
      </c>
      <c r="Z75" s="43">
        <f>3160.8</f>
        <v>3160.8</v>
      </c>
      <c r="AA75" s="43">
        <f>1000</f>
        <v>1000</v>
      </c>
      <c r="AB75" s="43">
        <f t="shared" si="39"/>
        <v>2160.8000000000002</v>
      </c>
      <c r="AC75" s="44">
        <f t="shared" si="40"/>
        <v>3.1608000000000001</v>
      </c>
      <c r="AD75" s="42"/>
      <c r="AE75" s="43">
        <f>1000</f>
        <v>1000</v>
      </c>
      <c r="AF75" s="43">
        <f t="shared" si="41"/>
        <v>-1000</v>
      </c>
      <c r="AG75" s="44">
        <f t="shared" si="42"/>
        <v>0</v>
      </c>
      <c r="AH75" s="43">
        <f>4436.88</f>
        <v>4436.88</v>
      </c>
      <c r="AI75" s="43">
        <f>1000</f>
        <v>1000</v>
      </c>
      <c r="AJ75" s="43">
        <f t="shared" si="43"/>
        <v>3436.88</v>
      </c>
      <c r="AK75" s="44">
        <f t="shared" si="44"/>
        <v>4.4368800000000004</v>
      </c>
      <c r="AL75" s="42"/>
      <c r="AM75" s="43">
        <f>1000</f>
        <v>1000</v>
      </c>
      <c r="AN75" s="43">
        <f t="shared" si="45"/>
        <v>-1000</v>
      </c>
      <c r="AO75" s="44">
        <f t="shared" si="46"/>
        <v>0</v>
      </c>
      <c r="AP75" s="42"/>
      <c r="AQ75" s="43">
        <f>1000</f>
        <v>1000</v>
      </c>
      <c r="AR75" s="43">
        <f t="shared" si="47"/>
        <v>-1000</v>
      </c>
      <c r="AS75" s="44">
        <f t="shared" si="48"/>
        <v>0</v>
      </c>
      <c r="AT75" s="42"/>
      <c r="AU75" s="43">
        <f>1000</f>
        <v>1000</v>
      </c>
      <c r="AV75" s="43">
        <f t="shared" si="49"/>
        <v>-1000</v>
      </c>
      <c r="AW75" s="44">
        <f t="shared" si="50"/>
        <v>0</v>
      </c>
      <c r="AX75" s="43">
        <f t="shared" si="54"/>
        <v>12220.740000000002</v>
      </c>
      <c r="AY75" s="43">
        <f t="shared" si="54"/>
        <v>12000</v>
      </c>
      <c r="AZ75" s="43">
        <f t="shared" si="52"/>
        <v>220.7400000000016</v>
      </c>
      <c r="BA75" s="44">
        <f t="shared" si="53"/>
        <v>1.0183950000000002</v>
      </c>
    </row>
    <row r="76" spans="1:53" x14ac:dyDescent="0.3">
      <c r="A76" s="41" t="s">
        <v>183</v>
      </c>
      <c r="B76" s="42"/>
      <c r="C76" s="43">
        <f>666.67</f>
        <v>666.67</v>
      </c>
      <c r="D76" s="43">
        <f t="shared" si="27"/>
        <v>-666.67</v>
      </c>
      <c r="E76" s="44">
        <f t="shared" si="28"/>
        <v>0</v>
      </c>
      <c r="F76" s="43">
        <f>280</f>
        <v>280</v>
      </c>
      <c r="G76" s="43">
        <f>666.67</f>
        <v>666.67</v>
      </c>
      <c r="H76" s="43">
        <f t="shared" si="29"/>
        <v>-386.66999999999996</v>
      </c>
      <c r="I76" s="44">
        <f t="shared" si="30"/>
        <v>0.41999790001049997</v>
      </c>
      <c r="J76" s="43">
        <f>175</f>
        <v>175</v>
      </c>
      <c r="K76" s="43">
        <f>666.67</f>
        <v>666.67</v>
      </c>
      <c r="L76" s="43">
        <f t="shared" si="31"/>
        <v>-491.66999999999996</v>
      </c>
      <c r="M76" s="44">
        <f t="shared" si="32"/>
        <v>0.26249868750656247</v>
      </c>
      <c r="N76" s="42"/>
      <c r="O76" s="43">
        <f>666.67</f>
        <v>666.67</v>
      </c>
      <c r="P76" s="43">
        <f t="shared" si="33"/>
        <v>-666.67</v>
      </c>
      <c r="Q76" s="44">
        <f t="shared" si="34"/>
        <v>0</v>
      </c>
      <c r="R76" s="42"/>
      <c r="S76" s="43">
        <f>666.67</f>
        <v>666.67</v>
      </c>
      <c r="T76" s="43">
        <f t="shared" si="35"/>
        <v>-666.67</v>
      </c>
      <c r="U76" s="44">
        <f t="shared" si="36"/>
        <v>0</v>
      </c>
      <c r="V76" s="42"/>
      <c r="W76" s="43">
        <f>666.67</f>
        <v>666.67</v>
      </c>
      <c r="X76" s="43">
        <f t="shared" si="37"/>
        <v>-666.67</v>
      </c>
      <c r="Y76" s="44">
        <f t="shared" si="38"/>
        <v>0</v>
      </c>
      <c r="Z76" s="42"/>
      <c r="AA76" s="43">
        <f>666.67</f>
        <v>666.67</v>
      </c>
      <c r="AB76" s="43">
        <f t="shared" si="39"/>
        <v>-666.67</v>
      </c>
      <c r="AC76" s="44">
        <f t="shared" si="40"/>
        <v>0</v>
      </c>
      <c r="AD76" s="43">
        <f>3995</f>
        <v>3995</v>
      </c>
      <c r="AE76" s="43">
        <f>666.67</f>
        <v>666.67</v>
      </c>
      <c r="AF76" s="43">
        <f t="shared" si="41"/>
        <v>3328.33</v>
      </c>
      <c r="AG76" s="44">
        <f t="shared" si="42"/>
        <v>5.9924700376498121</v>
      </c>
      <c r="AH76" s="42"/>
      <c r="AI76" s="43">
        <f>666.67</f>
        <v>666.67</v>
      </c>
      <c r="AJ76" s="43">
        <f t="shared" si="43"/>
        <v>-666.67</v>
      </c>
      <c r="AK76" s="44">
        <f t="shared" si="44"/>
        <v>0</v>
      </c>
      <c r="AL76" s="42"/>
      <c r="AM76" s="43">
        <f>666.67</f>
        <v>666.67</v>
      </c>
      <c r="AN76" s="43">
        <f t="shared" si="45"/>
        <v>-666.67</v>
      </c>
      <c r="AO76" s="44">
        <f t="shared" si="46"/>
        <v>0</v>
      </c>
      <c r="AP76" s="42"/>
      <c r="AQ76" s="43">
        <f>666.67</f>
        <v>666.67</v>
      </c>
      <c r="AR76" s="43">
        <f t="shared" si="47"/>
        <v>-666.67</v>
      </c>
      <c r="AS76" s="44">
        <f t="shared" si="48"/>
        <v>0</v>
      </c>
      <c r="AT76" s="42"/>
      <c r="AU76" s="43">
        <f>666.63</f>
        <v>666.63</v>
      </c>
      <c r="AV76" s="43">
        <f t="shared" si="49"/>
        <v>-666.63</v>
      </c>
      <c r="AW76" s="44">
        <f t="shared" si="50"/>
        <v>0</v>
      </c>
      <c r="AX76" s="43">
        <f t="shared" si="54"/>
        <v>4450</v>
      </c>
      <c r="AY76" s="43">
        <f t="shared" si="54"/>
        <v>8000</v>
      </c>
      <c r="AZ76" s="43">
        <f t="shared" si="52"/>
        <v>-3550</v>
      </c>
      <c r="BA76" s="44">
        <f t="shared" si="53"/>
        <v>0.55625000000000002</v>
      </c>
    </row>
    <row r="77" spans="1:53" x14ac:dyDescent="0.3">
      <c r="A77" s="41" t="s">
        <v>184</v>
      </c>
      <c r="B77" s="42"/>
      <c r="C77" s="43">
        <f>0</f>
        <v>0</v>
      </c>
      <c r="D77" s="43">
        <f t="shared" si="27"/>
        <v>0</v>
      </c>
      <c r="E77" s="44" t="str">
        <f t="shared" si="28"/>
        <v/>
      </c>
      <c r="F77" s="42"/>
      <c r="G77" s="43">
        <f>0</f>
        <v>0</v>
      </c>
      <c r="H77" s="43">
        <f t="shared" si="29"/>
        <v>0</v>
      </c>
      <c r="I77" s="44" t="str">
        <f t="shared" si="30"/>
        <v/>
      </c>
      <c r="J77" s="42"/>
      <c r="K77" s="43">
        <f>0</f>
        <v>0</v>
      </c>
      <c r="L77" s="43">
        <f t="shared" si="31"/>
        <v>0</v>
      </c>
      <c r="M77" s="44" t="str">
        <f t="shared" si="32"/>
        <v/>
      </c>
      <c r="N77" s="42"/>
      <c r="O77" s="43">
        <f>0</f>
        <v>0</v>
      </c>
      <c r="P77" s="43">
        <f t="shared" si="33"/>
        <v>0</v>
      </c>
      <c r="Q77" s="44" t="str">
        <f t="shared" si="34"/>
        <v/>
      </c>
      <c r="R77" s="42"/>
      <c r="S77" s="43">
        <f>0</f>
        <v>0</v>
      </c>
      <c r="T77" s="43">
        <f t="shared" si="35"/>
        <v>0</v>
      </c>
      <c r="U77" s="44" t="str">
        <f t="shared" si="36"/>
        <v/>
      </c>
      <c r="V77" s="42"/>
      <c r="W77" s="43">
        <f>0</f>
        <v>0</v>
      </c>
      <c r="X77" s="43">
        <f t="shared" si="37"/>
        <v>0</v>
      </c>
      <c r="Y77" s="44" t="str">
        <f t="shared" si="38"/>
        <v/>
      </c>
      <c r="Z77" s="42"/>
      <c r="AA77" s="43">
        <f>0</f>
        <v>0</v>
      </c>
      <c r="AB77" s="43">
        <f t="shared" si="39"/>
        <v>0</v>
      </c>
      <c r="AC77" s="44" t="str">
        <f t="shared" si="40"/>
        <v/>
      </c>
      <c r="AD77" s="42"/>
      <c r="AE77" s="43">
        <f>0</f>
        <v>0</v>
      </c>
      <c r="AF77" s="43">
        <f t="shared" si="41"/>
        <v>0</v>
      </c>
      <c r="AG77" s="44" t="str">
        <f t="shared" si="42"/>
        <v/>
      </c>
      <c r="AH77" s="42"/>
      <c r="AI77" s="43">
        <f>0</f>
        <v>0</v>
      </c>
      <c r="AJ77" s="43">
        <f t="shared" si="43"/>
        <v>0</v>
      </c>
      <c r="AK77" s="44" t="str">
        <f t="shared" si="44"/>
        <v/>
      </c>
      <c r="AL77" s="42"/>
      <c r="AM77" s="43">
        <f>0</f>
        <v>0</v>
      </c>
      <c r="AN77" s="43">
        <f t="shared" si="45"/>
        <v>0</v>
      </c>
      <c r="AO77" s="44" t="str">
        <f t="shared" si="46"/>
        <v/>
      </c>
      <c r="AP77" s="42"/>
      <c r="AQ77" s="43">
        <f>0</f>
        <v>0</v>
      </c>
      <c r="AR77" s="43">
        <f t="shared" si="47"/>
        <v>0</v>
      </c>
      <c r="AS77" s="44" t="str">
        <f t="shared" si="48"/>
        <v/>
      </c>
      <c r="AT77" s="42"/>
      <c r="AU77" s="43">
        <f>0</f>
        <v>0</v>
      </c>
      <c r="AV77" s="43">
        <f t="shared" si="49"/>
        <v>0</v>
      </c>
      <c r="AW77" s="44" t="str">
        <f t="shared" si="50"/>
        <v/>
      </c>
      <c r="AX77" s="43">
        <f t="shared" si="54"/>
        <v>0</v>
      </c>
      <c r="AY77" s="43">
        <f t="shared" si="54"/>
        <v>0</v>
      </c>
      <c r="AZ77" s="43">
        <f t="shared" si="52"/>
        <v>0</v>
      </c>
      <c r="BA77" s="44" t="str">
        <f t="shared" si="53"/>
        <v/>
      </c>
    </row>
    <row r="78" spans="1:53" x14ac:dyDescent="0.3">
      <c r="A78" s="41" t="s">
        <v>185</v>
      </c>
      <c r="B78" s="43">
        <f>386.79</f>
        <v>386.79</v>
      </c>
      <c r="C78" s="43">
        <f>2500</f>
        <v>2500</v>
      </c>
      <c r="D78" s="43">
        <f t="shared" si="27"/>
        <v>-2113.21</v>
      </c>
      <c r="E78" s="44">
        <f t="shared" si="28"/>
        <v>0.15471600000000002</v>
      </c>
      <c r="F78" s="42"/>
      <c r="G78" s="43">
        <f>2500</f>
        <v>2500</v>
      </c>
      <c r="H78" s="43">
        <f t="shared" si="29"/>
        <v>-2500</v>
      </c>
      <c r="I78" s="44">
        <f t="shared" si="30"/>
        <v>0</v>
      </c>
      <c r="J78" s="43">
        <f>204.27</f>
        <v>204.27</v>
      </c>
      <c r="K78" s="43">
        <f>2500</f>
        <v>2500</v>
      </c>
      <c r="L78" s="43">
        <f t="shared" si="31"/>
        <v>-2295.73</v>
      </c>
      <c r="M78" s="44">
        <f t="shared" si="32"/>
        <v>8.1708000000000003E-2</v>
      </c>
      <c r="N78" s="43">
        <f>844.88</f>
        <v>844.88</v>
      </c>
      <c r="O78" s="43">
        <f>2500</f>
        <v>2500</v>
      </c>
      <c r="P78" s="43">
        <f t="shared" si="33"/>
        <v>-1655.12</v>
      </c>
      <c r="Q78" s="44">
        <f t="shared" si="34"/>
        <v>0.33795199999999997</v>
      </c>
      <c r="R78" s="42"/>
      <c r="S78" s="43">
        <f>2500</f>
        <v>2500</v>
      </c>
      <c r="T78" s="43">
        <f t="shared" si="35"/>
        <v>-2500</v>
      </c>
      <c r="U78" s="44">
        <f t="shared" si="36"/>
        <v>0</v>
      </c>
      <c r="V78" s="43">
        <f>82.4</f>
        <v>82.4</v>
      </c>
      <c r="W78" s="43">
        <f>2500</f>
        <v>2500</v>
      </c>
      <c r="X78" s="43">
        <f t="shared" si="37"/>
        <v>-2417.6</v>
      </c>
      <c r="Y78" s="44">
        <f t="shared" si="38"/>
        <v>3.2960000000000003E-2</v>
      </c>
      <c r="Z78" s="43">
        <f>171.33</f>
        <v>171.33</v>
      </c>
      <c r="AA78" s="43">
        <f>2500</f>
        <v>2500</v>
      </c>
      <c r="AB78" s="43">
        <f t="shared" si="39"/>
        <v>-2328.67</v>
      </c>
      <c r="AC78" s="44">
        <f t="shared" si="40"/>
        <v>6.853200000000001E-2</v>
      </c>
      <c r="AD78" s="43">
        <f>688.9</f>
        <v>688.9</v>
      </c>
      <c r="AE78" s="43">
        <f>2500</f>
        <v>2500</v>
      </c>
      <c r="AF78" s="43">
        <f t="shared" si="41"/>
        <v>-1811.1</v>
      </c>
      <c r="AG78" s="44">
        <f t="shared" si="42"/>
        <v>0.27555999999999997</v>
      </c>
      <c r="AH78" s="43">
        <f>8557.6</f>
        <v>8557.6</v>
      </c>
      <c r="AI78" s="43">
        <f>2500</f>
        <v>2500</v>
      </c>
      <c r="AJ78" s="43">
        <f t="shared" si="43"/>
        <v>6057.6</v>
      </c>
      <c r="AK78" s="44">
        <f t="shared" si="44"/>
        <v>3.4230400000000003</v>
      </c>
      <c r="AL78" s="42"/>
      <c r="AM78" s="43">
        <f>2500</f>
        <v>2500</v>
      </c>
      <c r="AN78" s="43">
        <f t="shared" si="45"/>
        <v>-2500</v>
      </c>
      <c r="AO78" s="44">
        <f t="shared" si="46"/>
        <v>0</v>
      </c>
      <c r="AP78" s="42"/>
      <c r="AQ78" s="43">
        <f>2500</f>
        <v>2500</v>
      </c>
      <c r="AR78" s="43">
        <f t="shared" si="47"/>
        <v>-2500</v>
      </c>
      <c r="AS78" s="44">
        <f t="shared" si="48"/>
        <v>0</v>
      </c>
      <c r="AT78" s="42"/>
      <c r="AU78" s="43">
        <f>2500</f>
        <v>2500</v>
      </c>
      <c r="AV78" s="43">
        <f t="shared" si="49"/>
        <v>-2500</v>
      </c>
      <c r="AW78" s="44">
        <f t="shared" si="50"/>
        <v>0</v>
      </c>
      <c r="AX78" s="43">
        <f t="shared" si="54"/>
        <v>10936.17</v>
      </c>
      <c r="AY78" s="43">
        <f t="shared" si="54"/>
        <v>30000</v>
      </c>
      <c r="AZ78" s="43">
        <f t="shared" si="52"/>
        <v>-19063.830000000002</v>
      </c>
      <c r="BA78" s="44">
        <f t="shared" si="53"/>
        <v>0.364539</v>
      </c>
    </row>
    <row r="79" spans="1:53" x14ac:dyDescent="0.3">
      <c r="A79" s="41" t="s">
        <v>186</v>
      </c>
      <c r="B79" s="43">
        <f>118.99</f>
        <v>118.99</v>
      </c>
      <c r="C79" s="43">
        <f>2500</f>
        <v>2500</v>
      </c>
      <c r="D79" s="43">
        <f t="shared" si="27"/>
        <v>-2381.0100000000002</v>
      </c>
      <c r="E79" s="44">
        <f t="shared" si="28"/>
        <v>4.7595999999999999E-2</v>
      </c>
      <c r="F79" s="43">
        <f>1927.38</f>
        <v>1927.38</v>
      </c>
      <c r="G79" s="43">
        <f>2500</f>
        <v>2500</v>
      </c>
      <c r="H79" s="43">
        <f t="shared" si="29"/>
        <v>-572.61999999999989</v>
      </c>
      <c r="I79" s="44">
        <f t="shared" si="30"/>
        <v>0.77095200000000008</v>
      </c>
      <c r="J79" s="43">
        <f>1714.45</f>
        <v>1714.45</v>
      </c>
      <c r="K79" s="43">
        <f>2500</f>
        <v>2500</v>
      </c>
      <c r="L79" s="43">
        <f t="shared" si="31"/>
        <v>-785.55</v>
      </c>
      <c r="M79" s="44">
        <f t="shared" si="32"/>
        <v>0.68578000000000006</v>
      </c>
      <c r="N79" s="43">
        <f>191.15</f>
        <v>191.15</v>
      </c>
      <c r="O79" s="43">
        <f>2500</f>
        <v>2500</v>
      </c>
      <c r="P79" s="43">
        <f t="shared" si="33"/>
        <v>-2308.85</v>
      </c>
      <c r="Q79" s="44">
        <f t="shared" si="34"/>
        <v>7.646E-2</v>
      </c>
      <c r="R79" s="43">
        <f>534.34</f>
        <v>534.34</v>
      </c>
      <c r="S79" s="43">
        <f>2500</f>
        <v>2500</v>
      </c>
      <c r="T79" s="43">
        <f t="shared" si="35"/>
        <v>-1965.6599999999999</v>
      </c>
      <c r="U79" s="44">
        <f t="shared" si="36"/>
        <v>0.21373600000000001</v>
      </c>
      <c r="V79" s="43">
        <f>255.29</f>
        <v>255.29</v>
      </c>
      <c r="W79" s="43">
        <f>2500</f>
        <v>2500</v>
      </c>
      <c r="X79" s="43">
        <f t="shared" si="37"/>
        <v>-2244.71</v>
      </c>
      <c r="Y79" s="44">
        <f t="shared" si="38"/>
        <v>0.102116</v>
      </c>
      <c r="Z79" s="43">
        <f>291.8</f>
        <v>291.8</v>
      </c>
      <c r="AA79" s="43">
        <f>2500</f>
        <v>2500</v>
      </c>
      <c r="AB79" s="43">
        <f t="shared" si="39"/>
        <v>-2208.1999999999998</v>
      </c>
      <c r="AC79" s="44">
        <f t="shared" si="40"/>
        <v>0.11672</v>
      </c>
      <c r="AD79" s="43">
        <f>538.28</f>
        <v>538.28</v>
      </c>
      <c r="AE79" s="43">
        <f>2500</f>
        <v>2500</v>
      </c>
      <c r="AF79" s="43">
        <f t="shared" si="41"/>
        <v>-1961.72</v>
      </c>
      <c r="AG79" s="44">
        <f t="shared" si="42"/>
        <v>0.21531199999999998</v>
      </c>
      <c r="AH79" s="43">
        <f>591.19</f>
        <v>591.19000000000005</v>
      </c>
      <c r="AI79" s="43">
        <f>2500</f>
        <v>2500</v>
      </c>
      <c r="AJ79" s="43">
        <f t="shared" si="43"/>
        <v>-1908.81</v>
      </c>
      <c r="AK79" s="44">
        <f t="shared" si="44"/>
        <v>0.23647600000000002</v>
      </c>
      <c r="AL79" s="42"/>
      <c r="AM79" s="43">
        <f>2500</f>
        <v>2500</v>
      </c>
      <c r="AN79" s="43">
        <f t="shared" si="45"/>
        <v>-2500</v>
      </c>
      <c r="AO79" s="44">
        <f t="shared" si="46"/>
        <v>0</v>
      </c>
      <c r="AP79" s="42"/>
      <c r="AQ79" s="43">
        <f>2500</f>
        <v>2500</v>
      </c>
      <c r="AR79" s="43">
        <f t="shared" si="47"/>
        <v>-2500</v>
      </c>
      <c r="AS79" s="44">
        <f t="shared" si="48"/>
        <v>0</v>
      </c>
      <c r="AT79" s="42"/>
      <c r="AU79" s="43">
        <f>2500</f>
        <v>2500</v>
      </c>
      <c r="AV79" s="43">
        <f t="shared" si="49"/>
        <v>-2500</v>
      </c>
      <c r="AW79" s="44">
        <f t="shared" si="50"/>
        <v>0</v>
      </c>
      <c r="AX79" s="43">
        <f t="shared" si="54"/>
        <v>6162.8700000000008</v>
      </c>
      <c r="AY79" s="43">
        <f t="shared" si="54"/>
        <v>30000</v>
      </c>
      <c r="AZ79" s="43">
        <f t="shared" si="52"/>
        <v>-23837.129999999997</v>
      </c>
      <c r="BA79" s="44">
        <f t="shared" si="53"/>
        <v>0.20542900000000003</v>
      </c>
    </row>
    <row r="80" spans="1:53" x14ac:dyDescent="0.3">
      <c r="A80" s="41" t="s">
        <v>187</v>
      </c>
      <c r="B80" s="45">
        <f>((B77)+(B78))+(B79)</f>
        <v>505.78000000000003</v>
      </c>
      <c r="C80" s="45">
        <f>((C77)+(C78))+(C79)</f>
        <v>5000</v>
      </c>
      <c r="D80" s="45">
        <f t="shared" si="27"/>
        <v>-4494.22</v>
      </c>
      <c r="E80" s="46">
        <f t="shared" si="28"/>
        <v>0.10115600000000001</v>
      </c>
      <c r="F80" s="45">
        <f>((F77)+(F78))+(F79)</f>
        <v>1927.38</v>
      </c>
      <c r="G80" s="45">
        <f>((G77)+(G78))+(G79)</f>
        <v>5000</v>
      </c>
      <c r="H80" s="45">
        <f t="shared" si="29"/>
        <v>-3072.62</v>
      </c>
      <c r="I80" s="46">
        <f t="shared" si="30"/>
        <v>0.38547600000000004</v>
      </c>
      <c r="J80" s="45">
        <f>((J77)+(J78))+(J79)</f>
        <v>1918.72</v>
      </c>
      <c r="K80" s="45">
        <f>((K77)+(K78))+(K79)</f>
        <v>5000</v>
      </c>
      <c r="L80" s="45">
        <f t="shared" si="31"/>
        <v>-3081.2799999999997</v>
      </c>
      <c r="M80" s="46">
        <f t="shared" si="32"/>
        <v>0.38374400000000003</v>
      </c>
      <c r="N80" s="45">
        <f>((N77)+(N78))+(N79)</f>
        <v>1036.03</v>
      </c>
      <c r="O80" s="45">
        <f>((O77)+(O78))+(O79)</f>
        <v>5000</v>
      </c>
      <c r="P80" s="45">
        <f t="shared" si="33"/>
        <v>-3963.9700000000003</v>
      </c>
      <c r="Q80" s="46">
        <f t="shared" si="34"/>
        <v>0.207206</v>
      </c>
      <c r="R80" s="45">
        <f>((R77)+(R78))+(R79)</f>
        <v>534.34</v>
      </c>
      <c r="S80" s="45">
        <f>((S77)+(S78))+(S79)</f>
        <v>5000</v>
      </c>
      <c r="T80" s="45">
        <f t="shared" si="35"/>
        <v>-4465.66</v>
      </c>
      <c r="U80" s="46">
        <f t="shared" si="36"/>
        <v>0.106868</v>
      </c>
      <c r="V80" s="45">
        <f>((V77)+(V78))+(V79)</f>
        <v>337.69</v>
      </c>
      <c r="W80" s="45">
        <f>((W77)+(W78))+(W79)</f>
        <v>5000</v>
      </c>
      <c r="X80" s="45">
        <f t="shared" si="37"/>
        <v>-4662.3100000000004</v>
      </c>
      <c r="Y80" s="46">
        <f t="shared" si="38"/>
        <v>6.7538000000000001E-2</v>
      </c>
      <c r="Z80" s="45">
        <f>((Z77)+(Z78))+(Z79)</f>
        <v>463.13</v>
      </c>
      <c r="AA80" s="45">
        <f>((AA77)+(AA78))+(AA79)</f>
        <v>5000</v>
      </c>
      <c r="AB80" s="45">
        <f t="shared" si="39"/>
        <v>-4536.87</v>
      </c>
      <c r="AC80" s="46">
        <f t="shared" si="40"/>
        <v>9.2626E-2</v>
      </c>
      <c r="AD80" s="45">
        <f>((AD77)+(AD78))+(AD79)</f>
        <v>1227.1799999999998</v>
      </c>
      <c r="AE80" s="45">
        <f>((AE77)+(AE78))+(AE79)</f>
        <v>5000</v>
      </c>
      <c r="AF80" s="45">
        <f t="shared" si="41"/>
        <v>-3772.82</v>
      </c>
      <c r="AG80" s="46">
        <f t="shared" si="42"/>
        <v>0.24543599999999996</v>
      </c>
      <c r="AH80" s="45">
        <f>((AH77)+(AH78))+(AH79)</f>
        <v>9148.7900000000009</v>
      </c>
      <c r="AI80" s="45">
        <f>((AI77)+(AI78))+(AI79)</f>
        <v>5000</v>
      </c>
      <c r="AJ80" s="45">
        <f t="shared" si="43"/>
        <v>4148.7900000000009</v>
      </c>
      <c r="AK80" s="46">
        <f t="shared" si="44"/>
        <v>1.8297580000000002</v>
      </c>
      <c r="AL80" s="45">
        <f>((AL77)+(AL78))+(AL79)</f>
        <v>0</v>
      </c>
      <c r="AM80" s="45">
        <f>((AM77)+(AM78))+(AM79)</f>
        <v>5000</v>
      </c>
      <c r="AN80" s="45">
        <f t="shared" si="45"/>
        <v>-5000</v>
      </c>
      <c r="AO80" s="46">
        <f t="shared" si="46"/>
        <v>0</v>
      </c>
      <c r="AP80" s="45">
        <f>((AP77)+(AP78))+(AP79)</f>
        <v>0</v>
      </c>
      <c r="AQ80" s="45">
        <f>((AQ77)+(AQ78))+(AQ79)</f>
        <v>5000</v>
      </c>
      <c r="AR80" s="45">
        <f t="shared" si="47"/>
        <v>-5000</v>
      </c>
      <c r="AS80" s="46">
        <f t="shared" si="48"/>
        <v>0</v>
      </c>
      <c r="AT80" s="45">
        <f>((AT77)+(AT78))+(AT79)</f>
        <v>0</v>
      </c>
      <c r="AU80" s="45">
        <f>((AU77)+(AU78))+(AU79)</f>
        <v>5000</v>
      </c>
      <c r="AV80" s="45">
        <f t="shared" si="49"/>
        <v>-5000</v>
      </c>
      <c r="AW80" s="46">
        <f t="shared" si="50"/>
        <v>0</v>
      </c>
      <c r="AX80" s="45">
        <f t="shared" si="54"/>
        <v>17099.04</v>
      </c>
      <c r="AY80" s="45">
        <f t="shared" si="54"/>
        <v>60000</v>
      </c>
      <c r="AZ80" s="45">
        <f t="shared" si="52"/>
        <v>-42900.959999999999</v>
      </c>
      <c r="BA80" s="46">
        <f t="shared" si="53"/>
        <v>0.28498400000000002</v>
      </c>
    </row>
    <row r="81" spans="1:53" x14ac:dyDescent="0.3">
      <c r="A81" s="41" t="s">
        <v>188</v>
      </c>
      <c r="B81" s="42"/>
      <c r="C81" s="42"/>
      <c r="D81" s="43">
        <f t="shared" si="27"/>
        <v>0</v>
      </c>
      <c r="E81" s="44" t="str">
        <f t="shared" si="28"/>
        <v/>
      </c>
      <c r="F81" s="42"/>
      <c r="G81" s="42"/>
      <c r="H81" s="43">
        <f t="shared" si="29"/>
        <v>0</v>
      </c>
      <c r="I81" s="44" t="str">
        <f t="shared" si="30"/>
        <v/>
      </c>
      <c r="J81" s="42"/>
      <c r="K81" s="42"/>
      <c r="L81" s="43">
        <f t="shared" si="31"/>
        <v>0</v>
      </c>
      <c r="M81" s="44" t="str">
        <f t="shared" si="32"/>
        <v/>
      </c>
      <c r="N81" s="42"/>
      <c r="O81" s="42"/>
      <c r="P81" s="43">
        <f t="shared" si="33"/>
        <v>0</v>
      </c>
      <c r="Q81" s="44" t="str">
        <f t="shared" si="34"/>
        <v/>
      </c>
      <c r="R81" s="42"/>
      <c r="S81" s="42"/>
      <c r="T81" s="43">
        <f t="shared" si="35"/>
        <v>0</v>
      </c>
      <c r="U81" s="44" t="str">
        <f t="shared" si="36"/>
        <v/>
      </c>
      <c r="V81" s="42"/>
      <c r="W81" s="42"/>
      <c r="X81" s="43">
        <f t="shared" si="37"/>
        <v>0</v>
      </c>
      <c r="Y81" s="44" t="str">
        <f t="shared" si="38"/>
        <v/>
      </c>
      <c r="Z81" s="42"/>
      <c r="AA81" s="42"/>
      <c r="AB81" s="43">
        <f t="shared" si="39"/>
        <v>0</v>
      </c>
      <c r="AC81" s="44" t="str">
        <f t="shared" si="40"/>
        <v/>
      </c>
      <c r="AD81" s="42"/>
      <c r="AE81" s="42"/>
      <c r="AF81" s="43">
        <f t="shared" si="41"/>
        <v>0</v>
      </c>
      <c r="AG81" s="44" t="str">
        <f t="shared" si="42"/>
        <v/>
      </c>
      <c r="AH81" s="42"/>
      <c r="AI81" s="42"/>
      <c r="AJ81" s="43">
        <f t="shared" si="43"/>
        <v>0</v>
      </c>
      <c r="AK81" s="44" t="str">
        <f t="shared" si="44"/>
        <v/>
      </c>
      <c r="AL81" s="42"/>
      <c r="AM81" s="42"/>
      <c r="AN81" s="43">
        <f t="shared" si="45"/>
        <v>0</v>
      </c>
      <c r="AO81" s="44" t="str">
        <f t="shared" si="46"/>
        <v/>
      </c>
      <c r="AP81" s="42"/>
      <c r="AQ81" s="42"/>
      <c r="AR81" s="43">
        <f t="shared" si="47"/>
        <v>0</v>
      </c>
      <c r="AS81" s="44" t="str">
        <f t="shared" si="48"/>
        <v/>
      </c>
      <c r="AT81" s="42"/>
      <c r="AU81" s="42"/>
      <c r="AV81" s="43">
        <f t="shared" si="49"/>
        <v>0</v>
      </c>
      <c r="AW81" s="44" t="str">
        <f t="shared" si="50"/>
        <v/>
      </c>
      <c r="AX81" s="43">
        <f t="shared" si="54"/>
        <v>0</v>
      </c>
      <c r="AY81" s="43">
        <f t="shared" si="54"/>
        <v>0</v>
      </c>
      <c r="AZ81" s="43">
        <f t="shared" si="52"/>
        <v>0</v>
      </c>
      <c r="BA81" s="44" t="str">
        <f t="shared" si="53"/>
        <v/>
      </c>
    </row>
    <row r="82" spans="1:53" x14ac:dyDescent="0.3">
      <c r="A82" s="41" t="s">
        <v>189</v>
      </c>
      <c r="B82" s="43">
        <f>641.7</f>
        <v>641.70000000000005</v>
      </c>
      <c r="C82" s="43">
        <f>500</f>
        <v>500</v>
      </c>
      <c r="D82" s="43">
        <f t="shared" si="27"/>
        <v>141.70000000000005</v>
      </c>
      <c r="E82" s="44">
        <f t="shared" si="28"/>
        <v>1.2834000000000001</v>
      </c>
      <c r="F82" s="43">
        <f>312.01</f>
        <v>312.01</v>
      </c>
      <c r="G82" s="43">
        <f>500</f>
        <v>500</v>
      </c>
      <c r="H82" s="43">
        <f t="shared" si="29"/>
        <v>-187.99</v>
      </c>
      <c r="I82" s="44">
        <f t="shared" si="30"/>
        <v>0.62402000000000002</v>
      </c>
      <c r="J82" s="43">
        <f>171.97</f>
        <v>171.97</v>
      </c>
      <c r="K82" s="43">
        <f>500</f>
        <v>500</v>
      </c>
      <c r="L82" s="43">
        <f t="shared" si="31"/>
        <v>-328.03</v>
      </c>
      <c r="M82" s="44">
        <f t="shared" si="32"/>
        <v>0.34394000000000002</v>
      </c>
      <c r="N82" s="43">
        <f>409.04</f>
        <v>409.04</v>
      </c>
      <c r="O82" s="43">
        <f>500</f>
        <v>500</v>
      </c>
      <c r="P82" s="43">
        <f t="shared" si="33"/>
        <v>-90.95999999999998</v>
      </c>
      <c r="Q82" s="44">
        <f t="shared" si="34"/>
        <v>0.81808000000000003</v>
      </c>
      <c r="R82" s="43">
        <f>312.93</f>
        <v>312.93</v>
      </c>
      <c r="S82" s="43">
        <f>500</f>
        <v>500</v>
      </c>
      <c r="T82" s="43">
        <f t="shared" si="35"/>
        <v>-187.07</v>
      </c>
      <c r="U82" s="44">
        <f t="shared" si="36"/>
        <v>0.62585999999999997</v>
      </c>
      <c r="V82" s="43">
        <f>190.38</f>
        <v>190.38</v>
      </c>
      <c r="W82" s="43">
        <f>500</f>
        <v>500</v>
      </c>
      <c r="X82" s="43">
        <f t="shared" si="37"/>
        <v>-309.62</v>
      </c>
      <c r="Y82" s="44">
        <f t="shared" si="38"/>
        <v>0.38075999999999999</v>
      </c>
      <c r="Z82" s="42"/>
      <c r="AA82" s="43">
        <f>500</f>
        <v>500</v>
      </c>
      <c r="AB82" s="43">
        <f t="shared" si="39"/>
        <v>-500</v>
      </c>
      <c r="AC82" s="44">
        <f t="shared" si="40"/>
        <v>0</v>
      </c>
      <c r="AD82" s="43">
        <f>1500.22</f>
        <v>1500.22</v>
      </c>
      <c r="AE82" s="43">
        <f>500</f>
        <v>500</v>
      </c>
      <c r="AF82" s="43">
        <f t="shared" si="41"/>
        <v>1000.22</v>
      </c>
      <c r="AG82" s="44">
        <f t="shared" si="42"/>
        <v>3.0004400000000002</v>
      </c>
      <c r="AH82" s="43">
        <f>77.51</f>
        <v>77.510000000000005</v>
      </c>
      <c r="AI82" s="43">
        <f>500</f>
        <v>500</v>
      </c>
      <c r="AJ82" s="43">
        <f t="shared" si="43"/>
        <v>-422.49</v>
      </c>
      <c r="AK82" s="44">
        <f t="shared" si="44"/>
        <v>0.15502000000000002</v>
      </c>
      <c r="AL82" s="42"/>
      <c r="AM82" s="43">
        <f>500</f>
        <v>500</v>
      </c>
      <c r="AN82" s="43">
        <f t="shared" si="45"/>
        <v>-500</v>
      </c>
      <c r="AO82" s="44">
        <f t="shared" si="46"/>
        <v>0</v>
      </c>
      <c r="AP82" s="42"/>
      <c r="AQ82" s="43">
        <f>500</f>
        <v>500</v>
      </c>
      <c r="AR82" s="43">
        <f t="shared" si="47"/>
        <v>-500</v>
      </c>
      <c r="AS82" s="44">
        <f t="shared" si="48"/>
        <v>0</v>
      </c>
      <c r="AT82" s="42"/>
      <c r="AU82" s="43">
        <f>500</f>
        <v>500</v>
      </c>
      <c r="AV82" s="43">
        <f t="shared" si="49"/>
        <v>-500</v>
      </c>
      <c r="AW82" s="44">
        <f t="shared" si="50"/>
        <v>0</v>
      </c>
      <c r="AX82" s="43">
        <f t="shared" si="54"/>
        <v>3615.76</v>
      </c>
      <c r="AY82" s="43">
        <f t="shared" si="54"/>
        <v>6000</v>
      </c>
      <c r="AZ82" s="43">
        <f t="shared" si="52"/>
        <v>-2384.2399999999998</v>
      </c>
      <c r="BA82" s="44">
        <f t="shared" si="53"/>
        <v>0.60262666666666675</v>
      </c>
    </row>
    <row r="83" spans="1:53" x14ac:dyDescent="0.3">
      <c r="A83" s="41" t="s">
        <v>190</v>
      </c>
      <c r="B83" s="43">
        <f>148.83</f>
        <v>148.83000000000001</v>
      </c>
      <c r="C83" s="43">
        <f>291.67</f>
        <v>291.67</v>
      </c>
      <c r="D83" s="43">
        <f t="shared" si="27"/>
        <v>-142.84</v>
      </c>
      <c r="E83" s="44">
        <f t="shared" si="28"/>
        <v>0.51026845407481058</v>
      </c>
      <c r="F83" s="43">
        <f>67.35</f>
        <v>67.349999999999994</v>
      </c>
      <c r="G83" s="43">
        <f>291.67</f>
        <v>291.67</v>
      </c>
      <c r="H83" s="43">
        <f t="shared" si="29"/>
        <v>-224.32000000000002</v>
      </c>
      <c r="I83" s="44">
        <f t="shared" si="30"/>
        <v>0.23091164672403741</v>
      </c>
      <c r="J83" s="43">
        <f>85.66</f>
        <v>85.66</v>
      </c>
      <c r="K83" s="43">
        <f>291.67</f>
        <v>291.67</v>
      </c>
      <c r="L83" s="43">
        <f t="shared" si="31"/>
        <v>-206.01000000000002</v>
      </c>
      <c r="M83" s="44">
        <f t="shared" si="32"/>
        <v>0.29368807213631842</v>
      </c>
      <c r="N83" s="43">
        <f>27.54</f>
        <v>27.54</v>
      </c>
      <c r="O83" s="43">
        <f>291.67</f>
        <v>291.67</v>
      </c>
      <c r="P83" s="43">
        <f t="shared" si="33"/>
        <v>-264.13</v>
      </c>
      <c r="Q83" s="44">
        <f t="shared" si="34"/>
        <v>9.4421778036822432E-2</v>
      </c>
      <c r="R83" s="43">
        <f>256.73</f>
        <v>256.73</v>
      </c>
      <c r="S83" s="43">
        <f>291.67</f>
        <v>291.67</v>
      </c>
      <c r="T83" s="43">
        <f t="shared" si="35"/>
        <v>-34.94</v>
      </c>
      <c r="U83" s="44">
        <f t="shared" si="36"/>
        <v>0.88020708334761888</v>
      </c>
      <c r="V83" s="43">
        <f>78.46</f>
        <v>78.459999999999994</v>
      </c>
      <c r="W83" s="43">
        <f>291.67</f>
        <v>291.67</v>
      </c>
      <c r="X83" s="43">
        <f t="shared" si="37"/>
        <v>-213.21000000000004</v>
      </c>
      <c r="Y83" s="44">
        <f t="shared" si="38"/>
        <v>0.26900263996982887</v>
      </c>
      <c r="Z83" s="43">
        <f>4.63</f>
        <v>4.63</v>
      </c>
      <c r="AA83" s="43">
        <f>291.67</f>
        <v>291.67</v>
      </c>
      <c r="AB83" s="43">
        <f t="shared" si="39"/>
        <v>-287.04000000000002</v>
      </c>
      <c r="AC83" s="44">
        <f t="shared" si="40"/>
        <v>1.5874104295950903E-2</v>
      </c>
      <c r="AD83" s="43">
        <f>31.67</f>
        <v>31.67</v>
      </c>
      <c r="AE83" s="43">
        <f>291.67</f>
        <v>291.67</v>
      </c>
      <c r="AF83" s="43">
        <f t="shared" si="41"/>
        <v>-260</v>
      </c>
      <c r="AG83" s="44">
        <f t="shared" si="42"/>
        <v>0.10858161621010046</v>
      </c>
      <c r="AH83" s="43">
        <f>166.35</f>
        <v>166.35</v>
      </c>
      <c r="AI83" s="43">
        <f>291.67</f>
        <v>291.67</v>
      </c>
      <c r="AJ83" s="43">
        <f t="shared" si="43"/>
        <v>-125.32000000000002</v>
      </c>
      <c r="AK83" s="44">
        <f t="shared" si="44"/>
        <v>0.57033633901326841</v>
      </c>
      <c r="AL83" s="42"/>
      <c r="AM83" s="43">
        <f>291.67</f>
        <v>291.67</v>
      </c>
      <c r="AN83" s="43">
        <f t="shared" si="45"/>
        <v>-291.67</v>
      </c>
      <c r="AO83" s="44">
        <f t="shared" si="46"/>
        <v>0</v>
      </c>
      <c r="AP83" s="42"/>
      <c r="AQ83" s="43">
        <f>291.67</f>
        <v>291.67</v>
      </c>
      <c r="AR83" s="43">
        <f t="shared" si="47"/>
        <v>-291.67</v>
      </c>
      <c r="AS83" s="44">
        <f t="shared" si="48"/>
        <v>0</v>
      </c>
      <c r="AT83" s="42"/>
      <c r="AU83" s="43">
        <f>291.63</f>
        <v>291.63</v>
      </c>
      <c r="AV83" s="43">
        <f t="shared" si="49"/>
        <v>-291.63</v>
      </c>
      <c r="AW83" s="44">
        <f t="shared" si="50"/>
        <v>0</v>
      </c>
      <c r="AX83" s="43">
        <f t="shared" si="54"/>
        <v>867.22000000000014</v>
      </c>
      <c r="AY83" s="43">
        <f t="shared" si="54"/>
        <v>3500.0000000000005</v>
      </c>
      <c r="AZ83" s="43">
        <f t="shared" si="52"/>
        <v>-2632.78</v>
      </c>
      <c r="BA83" s="44">
        <f t="shared" si="53"/>
        <v>0.24777714285714286</v>
      </c>
    </row>
    <row r="84" spans="1:53" x14ac:dyDescent="0.3">
      <c r="A84" s="41" t="s">
        <v>191</v>
      </c>
      <c r="B84" s="42"/>
      <c r="C84" s="43">
        <f>833.33</f>
        <v>833.33</v>
      </c>
      <c r="D84" s="43">
        <f t="shared" si="27"/>
        <v>-833.33</v>
      </c>
      <c r="E84" s="44">
        <f t="shared" si="28"/>
        <v>0</v>
      </c>
      <c r="F84" s="43">
        <f>562.99</f>
        <v>562.99</v>
      </c>
      <c r="G84" s="43">
        <f>833.33</f>
        <v>833.33</v>
      </c>
      <c r="H84" s="43">
        <f t="shared" si="29"/>
        <v>-270.34000000000003</v>
      </c>
      <c r="I84" s="44">
        <f t="shared" si="30"/>
        <v>0.67559070236280938</v>
      </c>
      <c r="J84" s="43">
        <f>237.92</f>
        <v>237.92</v>
      </c>
      <c r="K84" s="43">
        <f>833.33</f>
        <v>833.33</v>
      </c>
      <c r="L84" s="43">
        <f t="shared" si="31"/>
        <v>-595.41000000000008</v>
      </c>
      <c r="M84" s="44">
        <f t="shared" si="32"/>
        <v>0.28550514202056804</v>
      </c>
      <c r="N84" s="43">
        <f>612.99</f>
        <v>612.99</v>
      </c>
      <c r="O84" s="43">
        <f>833.33</f>
        <v>833.33</v>
      </c>
      <c r="P84" s="43">
        <f t="shared" si="33"/>
        <v>-220.34000000000003</v>
      </c>
      <c r="Q84" s="44">
        <f t="shared" si="34"/>
        <v>0.73559094236376943</v>
      </c>
      <c r="R84" s="43">
        <f>684.11</f>
        <v>684.11</v>
      </c>
      <c r="S84" s="43">
        <f>833.33</f>
        <v>833.33</v>
      </c>
      <c r="T84" s="43">
        <f t="shared" si="35"/>
        <v>-149.22000000000003</v>
      </c>
      <c r="U84" s="44">
        <f t="shared" si="36"/>
        <v>0.82093528374113489</v>
      </c>
      <c r="V84" s="43">
        <f>147.5</f>
        <v>147.5</v>
      </c>
      <c r="W84" s="43">
        <f>833.33</f>
        <v>833.33</v>
      </c>
      <c r="X84" s="43">
        <f t="shared" si="37"/>
        <v>-685.83</v>
      </c>
      <c r="Y84" s="44">
        <f t="shared" si="38"/>
        <v>0.17700070800283199</v>
      </c>
      <c r="Z84" s="43">
        <f>29.94</f>
        <v>29.94</v>
      </c>
      <c r="AA84" s="43">
        <f>833.33</f>
        <v>833.33</v>
      </c>
      <c r="AB84" s="43">
        <f t="shared" si="39"/>
        <v>-803.39</v>
      </c>
      <c r="AC84" s="44">
        <f t="shared" si="40"/>
        <v>3.5928143712574849E-2</v>
      </c>
      <c r="AD84" s="43">
        <f>100.25</f>
        <v>100.25</v>
      </c>
      <c r="AE84" s="43">
        <f>833.33</f>
        <v>833.33</v>
      </c>
      <c r="AF84" s="43">
        <f t="shared" si="41"/>
        <v>-733.08</v>
      </c>
      <c r="AG84" s="44">
        <f t="shared" si="42"/>
        <v>0.1203004812019248</v>
      </c>
      <c r="AH84" s="43">
        <f>272.34</f>
        <v>272.33999999999997</v>
      </c>
      <c r="AI84" s="43">
        <f>833.33</f>
        <v>833.33</v>
      </c>
      <c r="AJ84" s="43">
        <f t="shared" si="43"/>
        <v>-560.99</v>
      </c>
      <c r="AK84" s="44">
        <f t="shared" si="44"/>
        <v>0.3268093072372289</v>
      </c>
      <c r="AL84" s="42"/>
      <c r="AM84" s="43">
        <f>833.33</f>
        <v>833.33</v>
      </c>
      <c r="AN84" s="43">
        <f t="shared" si="45"/>
        <v>-833.33</v>
      </c>
      <c r="AO84" s="44">
        <f t="shared" si="46"/>
        <v>0</v>
      </c>
      <c r="AP84" s="42"/>
      <c r="AQ84" s="43">
        <f>833.33</f>
        <v>833.33</v>
      </c>
      <c r="AR84" s="43">
        <f t="shared" si="47"/>
        <v>-833.33</v>
      </c>
      <c r="AS84" s="44">
        <f t="shared" si="48"/>
        <v>0</v>
      </c>
      <c r="AT84" s="42"/>
      <c r="AU84" s="43">
        <f>833.37</f>
        <v>833.37</v>
      </c>
      <c r="AV84" s="43">
        <f t="shared" si="49"/>
        <v>-833.37</v>
      </c>
      <c r="AW84" s="44">
        <f t="shared" si="50"/>
        <v>0</v>
      </c>
      <c r="AX84" s="43">
        <f t="shared" si="54"/>
        <v>2648.0400000000004</v>
      </c>
      <c r="AY84" s="43">
        <f t="shared" si="54"/>
        <v>10000.000000000002</v>
      </c>
      <c r="AZ84" s="43">
        <f t="shared" si="52"/>
        <v>-7351.9600000000009</v>
      </c>
      <c r="BA84" s="44">
        <f t="shared" si="53"/>
        <v>0.26480399999999998</v>
      </c>
    </row>
    <row r="85" spans="1:53" x14ac:dyDescent="0.3">
      <c r="A85" s="41" t="s">
        <v>192</v>
      </c>
      <c r="B85" s="42"/>
      <c r="C85" s="43">
        <f>166.67</f>
        <v>166.67</v>
      </c>
      <c r="D85" s="43">
        <f t="shared" si="27"/>
        <v>-166.67</v>
      </c>
      <c r="E85" s="44">
        <f t="shared" si="28"/>
        <v>0</v>
      </c>
      <c r="F85" s="42"/>
      <c r="G85" s="43">
        <f>166.67</f>
        <v>166.67</v>
      </c>
      <c r="H85" s="43">
        <f t="shared" si="29"/>
        <v>-166.67</v>
      </c>
      <c r="I85" s="44">
        <f t="shared" si="30"/>
        <v>0</v>
      </c>
      <c r="J85" s="42"/>
      <c r="K85" s="43">
        <f>166.67</f>
        <v>166.67</v>
      </c>
      <c r="L85" s="43">
        <f t="shared" si="31"/>
        <v>-166.67</v>
      </c>
      <c r="M85" s="44">
        <f t="shared" si="32"/>
        <v>0</v>
      </c>
      <c r="N85" s="42"/>
      <c r="O85" s="43">
        <f>166.67</f>
        <v>166.67</v>
      </c>
      <c r="P85" s="43">
        <f t="shared" si="33"/>
        <v>-166.67</v>
      </c>
      <c r="Q85" s="44">
        <f t="shared" si="34"/>
        <v>0</v>
      </c>
      <c r="R85" s="42"/>
      <c r="S85" s="43">
        <f>166.67</f>
        <v>166.67</v>
      </c>
      <c r="T85" s="43">
        <f t="shared" si="35"/>
        <v>-166.67</v>
      </c>
      <c r="U85" s="44">
        <f t="shared" si="36"/>
        <v>0</v>
      </c>
      <c r="V85" s="43">
        <f>73.54</f>
        <v>73.540000000000006</v>
      </c>
      <c r="W85" s="43">
        <f>166.67</f>
        <v>166.67</v>
      </c>
      <c r="X85" s="43">
        <f t="shared" si="37"/>
        <v>-93.129999999999981</v>
      </c>
      <c r="Y85" s="44">
        <f t="shared" si="38"/>
        <v>0.44123117537649253</v>
      </c>
      <c r="Z85" s="43">
        <f>23.1</f>
        <v>23.1</v>
      </c>
      <c r="AA85" s="43">
        <f>166.67</f>
        <v>166.67</v>
      </c>
      <c r="AB85" s="43">
        <f t="shared" si="39"/>
        <v>-143.57</v>
      </c>
      <c r="AC85" s="44">
        <f t="shared" si="40"/>
        <v>0.13859722805543892</v>
      </c>
      <c r="AD85" s="42"/>
      <c r="AE85" s="43">
        <f>166.67</f>
        <v>166.67</v>
      </c>
      <c r="AF85" s="43">
        <f t="shared" si="41"/>
        <v>-166.67</v>
      </c>
      <c r="AG85" s="44">
        <f t="shared" si="42"/>
        <v>0</v>
      </c>
      <c r="AH85" s="43">
        <f>995.42</f>
        <v>995.42</v>
      </c>
      <c r="AI85" s="43">
        <f>166.67</f>
        <v>166.67</v>
      </c>
      <c r="AJ85" s="43">
        <f t="shared" si="43"/>
        <v>828.75</v>
      </c>
      <c r="AK85" s="44">
        <f t="shared" si="44"/>
        <v>5.9724005519889607</v>
      </c>
      <c r="AL85" s="42"/>
      <c r="AM85" s="43">
        <f>166.67</f>
        <v>166.67</v>
      </c>
      <c r="AN85" s="43">
        <f t="shared" si="45"/>
        <v>-166.67</v>
      </c>
      <c r="AO85" s="44">
        <f t="shared" si="46"/>
        <v>0</v>
      </c>
      <c r="AP85" s="42"/>
      <c r="AQ85" s="43">
        <f>166.67</f>
        <v>166.67</v>
      </c>
      <c r="AR85" s="43">
        <f t="shared" si="47"/>
        <v>-166.67</v>
      </c>
      <c r="AS85" s="44">
        <f t="shared" si="48"/>
        <v>0</v>
      </c>
      <c r="AT85" s="42"/>
      <c r="AU85" s="43">
        <f>166.63</f>
        <v>166.63</v>
      </c>
      <c r="AV85" s="43">
        <f t="shared" si="49"/>
        <v>-166.63</v>
      </c>
      <c r="AW85" s="44">
        <f t="shared" si="50"/>
        <v>0</v>
      </c>
      <c r="AX85" s="43">
        <f t="shared" si="54"/>
        <v>1092.06</v>
      </c>
      <c r="AY85" s="43">
        <f t="shared" si="54"/>
        <v>2000</v>
      </c>
      <c r="AZ85" s="43">
        <f t="shared" si="52"/>
        <v>-907.94</v>
      </c>
      <c r="BA85" s="44">
        <f t="shared" si="53"/>
        <v>0.54603000000000002</v>
      </c>
    </row>
    <row r="86" spans="1:53" x14ac:dyDescent="0.3">
      <c r="A86" s="41" t="s">
        <v>193</v>
      </c>
      <c r="B86" s="45">
        <f>((((B81)+(B82))+(B83))+(B84))+(B85)</f>
        <v>790.53000000000009</v>
      </c>
      <c r="C86" s="45">
        <f>((((C81)+(C82))+(C83))+(C84))+(C85)</f>
        <v>1791.67</v>
      </c>
      <c r="D86" s="45">
        <f t="shared" si="27"/>
        <v>-1001.14</v>
      </c>
      <c r="E86" s="46">
        <f t="shared" si="28"/>
        <v>0.44122522562748723</v>
      </c>
      <c r="F86" s="45">
        <f>((((F81)+(F82))+(F83))+(F84))+(F85)</f>
        <v>942.35</v>
      </c>
      <c r="G86" s="45">
        <f>((((G81)+(G82))+(G83))+(G84))+(G85)</f>
        <v>1791.67</v>
      </c>
      <c r="H86" s="45">
        <f t="shared" si="29"/>
        <v>-849.32</v>
      </c>
      <c r="I86" s="46">
        <f t="shared" si="30"/>
        <v>0.52596181216407034</v>
      </c>
      <c r="J86" s="45">
        <f>((((J81)+(J82))+(J83))+(J84))+(J85)</f>
        <v>495.54999999999995</v>
      </c>
      <c r="K86" s="45">
        <f>((((K81)+(K82))+(K83))+(K84))+(K85)</f>
        <v>1791.67</v>
      </c>
      <c r="L86" s="45">
        <f t="shared" si="31"/>
        <v>-1296.1200000000001</v>
      </c>
      <c r="M86" s="46">
        <f t="shared" si="32"/>
        <v>0.27658553193389401</v>
      </c>
      <c r="N86" s="45">
        <f>((((N81)+(N82))+(N83))+(N84))+(N85)</f>
        <v>1049.5700000000002</v>
      </c>
      <c r="O86" s="45">
        <f>((((O81)+(O82))+(O83))+(O84))+(O85)</f>
        <v>1791.67</v>
      </c>
      <c r="P86" s="45">
        <f t="shared" si="33"/>
        <v>-742.09999999999991</v>
      </c>
      <c r="Q86" s="46">
        <f t="shared" si="34"/>
        <v>0.58580542175735495</v>
      </c>
      <c r="R86" s="45">
        <f>((((R81)+(R82))+(R83))+(R84))+(R85)</f>
        <v>1253.77</v>
      </c>
      <c r="S86" s="45">
        <f>((((S81)+(S82))+(S83))+(S84))+(S85)</f>
        <v>1791.67</v>
      </c>
      <c r="T86" s="45">
        <f t="shared" si="35"/>
        <v>-537.90000000000009</v>
      </c>
      <c r="U86" s="46">
        <f t="shared" si="36"/>
        <v>0.6997773027399018</v>
      </c>
      <c r="V86" s="45">
        <f>((((V81)+(V82))+(V83))+(V84))+(V85)</f>
        <v>489.88</v>
      </c>
      <c r="W86" s="45">
        <f>((((W81)+(W82))+(W83))+(W84))+(W85)</f>
        <v>1791.67</v>
      </c>
      <c r="X86" s="45">
        <f t="shared" si="37"/>
        <v>-1301.79</v>
      </c>
      <c r="Y86" s="46">
        <f t="shared" si="38"/>
        <v>0.27342088665881553</v>
      </c>
      <c r="Z86" s="45">
        <f>((((Z81)+(Z82))+(Z83))+(Z84))+(Z85)</f>
        <v>57.67</v>
      </c>
      <c r="AA86" s="45">
        <f>((((AA81)+(AA82))+(AA83))+(AA84))+(AA85)</f>
        <v>1791.67</v>
      </c>
      <c r="AB86" s="45">
        <f t="shared" si="39"/>
        <v>-1734</v>
      </c>
      <c r="AC86" s="46">
        <f t="shared" si="40"/>
        <v>3.21878470923775E-2</v>
      </c>
      <c r="AD86" s="45">
        <f>((((AD81)+(AD82))+(AD83))+(AD84))+(AD85)</f>
        <v>1632.14</v>
      </c>
      <c r="AE86" s="45">
        <f>((((AE81)+(AE82))+(AE83))+(AE84))+(AE85)</f>
        <v>1791.67</v>
      </c>
      <c r="AF86" s="45">
        <f t="shared" si="41"/>
        <v>-159.52999999999997</v>
      </c>
      <c r="AG86" s="46">
        <f t="shared" si="42"/>
        <v>0.91096016565550575</v>
      </c>
      <c r="AH86" s="45">
        <f>((((AH81)+(AH82))+(AH83))+(AH84))+(AH85)</f>
        <v>1511.62</v>
      </c>
      <c r="AI86" s="45">
        <f>((((AI81)+(AI82))+(AI83))+(AI84))+(AI85)</f>
        <v>1791.67</v>
      </c>
      <c r="AJ86" s="45">
        <f t="shared" si="43"/>
        <v>-280.05000000000018</v>
      </c>
      <c r="AK86" s="46">
        <f t="shared" si="44"/>
        <v>0.84369331405895054</v>
      </c>
      <c r="AL86" s="45">
        <f>((((AL81)+(AL82))+(AL83))+(AL84))+(AL85)</f>
        <v>0</v>
      </c>
      <c r="AM86" s="45">
        <f>((((AM81)+(AM82))+(AM83))+(AM84))+(AM85)</f>
        <v>1791.67</v>
      </c>
      <c r="AN86" s="45">
        <f t="shared" si="45"/>
        <v>-1791.67</v>
      </c>
      <c r="AO86" s="46">
        <f t="shared" si="46"/>
        <v>0</v>
      </c>
      <c r="AP86" s="45">
        <f>((((AP81)+(AP82))+(AP83))+(AP84))+(AP85)</f>
        <v>0</v>
      </c>
      <c r="AQ86" s="45">
        <f>((((AQ81)+(AQ82))+(AQ83))+(AQ84))+(AQ85)</f>
        <v>1791.67</v>
      </c>
      <c r="AR86" s="45">
        <f t="shared" si="47"/>
        <v>-1791.67</v>
      </c>
      <c r="AS86" s="46">
        <f t="shared" si="48"/>
        <v>0</v>
      </c>
      <c r="AT86" s="45">
        <f>((((AT81)+(AT82))+(AT83))+(AT84))+(AT85)</f>
        <v>0</v>
      </c>
      <c r="AU86" s="45">
        <f>((((AU81)+(AU82))+(AU83))+(AU84))+(AU85)</f>
        <v>1791.63</v>
      </c>
      <c r="AV86" s="45">
        <f t="shared" si="49"/>
        <v>-1791.63</v>
      </c>
      <c r="AW86" s="46">
        <f t="shared" si="50"/>
        <v>0</v>
      </c>
      <c r="AX86" s="45">
        <f t="shared" si="54"/>
        <v>8223.0800000000017</v>
      </c>
      <c r="AY86" s="45">
        <f t="shared" si="54"/>
        <v>21500.000000000004</v>
      </c>
      <c r="AZ86" s="45">
        <f t="shared" si="52"/>
        <v>-13276.920000000002</v>
      </c>
      <c r="BA86" s="46">
        <f t="shared" si="53"/>
        <v>0.38246883720930236</v>
      </c>
    </row>
    <row r="87" spans="1:53" x14ac:dyDescent="0.3">
      <c r="A87" s="41" t="s">
        <v>194</v>
      </c>
      <c r="B87" s="43">
        <f>472.05</f>
        <v>472.05</v>
      </c>
      <c r="C87" s="43">
        <f>1666.67</f>
        <v>1666.67</v>
      </c>
      <c r="D87" s="43">
        <f t="shared" si="27"/>
        <v>-1194.6200000000001</v>
      </c>
      <c r="E87" s="44">
        <f t="shared" si="28"/>
        <v>0.28322943354113289</v>
      </c>
      <c r="F87" s="43">
        <f>6733.79</f>
        <v>6733.79</v>
      </c>
      <c r="G87" s="43">
        <f>1666.67</f>
        <v>1666.67</v>
      </c>
      <c r="H87" s="43">
        <f t="shared" si="29"/>
        <v>5067.12</v>
      </c>
      <c r="I87" s="44">
        <f t="shared" si="30"/>
        <v>4.0402659194681609</v>
      </c>
      <c r="J87" s="43">
        <f>1032.52</f>
        <v>1032.52</v>
      </c>
      <c r="K87" s="43">
        <f>1666.67</f>
        <v>1666.67</v>
      </c>
      <c r="L87" s="43">
        <f t="shared" si="31"/>
        <v>-634.15000000000009</v>
      </c>
      <c r="M87" s="44">
        <f t="shared" si="32"/>
        <v>0.61951076097847801</v>
      </c>
      <c r="N87" s="43">
        <f>3635.2</f>
        <v>3635.2</v>
      </c>
      <c r="O87" s="43">
        <f>1666.67</f>
        <v>1666.67</v>
      </c>
      <c r="P87" s="43">
        <f t="shared" si="33"/>
        <v>1968.5299999999997</v>
      </c>
      <c r="Q87" s="44">
        <f t="shared" si="34"/>
        <v>2.1811156377687242</v>
      </c>
      <c r="R87" s="43">
        <f>870.42</f>
        <v>870.42</v>
      </c>
      <c r="S87" s="43">
        <f>1666.67</f>
        <v>1666.67</v>
      </c>
      <c r="T87" s="43">
        <f t="shared" si="35"/>
        <v>-796.25000000000011</v>
      </c>
      <c r="U87" s="44">
        <f t="shared" si="36"/>
        <v>0.52225095549808898</v>
      </c>
      <c r="V87" s="43">
        <f>5395.76</f>
        <v>5395.76</v>
      </c>
      <c r="W87" s="43">
        <f>1666.67</f>
        <v>1666.67</v>
      </c>
      <c r="X87" s="43">
        <f t="shared" si="37"/>
        <v>3729.09</v>
      </c>
      <c r="Y87" s="44">
        <f t="shared" si="38"/>
        <v>3.2374495251009496</v>
      </c>
      <c r="Z87" s="42"/>
      <c r="AA87" s="43">
        <f>1666.67</f>
        <v>1666.67</v>
      </c>
      <c r="AB87" s="43">
        <f t="shared" si="39"/>
        <v>-1666.67</v>
      </c>
      <c r="AC87" s="44">
        <f t="shared" si="40"/>
        <v>0</v>
      </c>
      <c r="AD87" s="43">
        <f>100.78</f>
        <v>100.78</v>
      </c>
      <c r="AE87" s="43">
        <f>1666.67</f>
        <v>1666.67</v>
      </c>
      <c r="AF87" s="43">
        <f t="shared" si="41"/>
        <v>-1565.89</v>
      </c>
      <c r="AG87" s="44">
        <f t="shared" si="42"/>
        <v>6.0467879064241871E-2</v>
      </c>
      <c r="AH87" s="42"/>
      <c r="AI87" s="43">
        <f>1666.67</f>
        <v>1666.67</v>
      </c>
      <c r="AJ87" s="43">
        <f t="shared" si="43"/>
        <v>-1666.67</v>
      </c>
      <c r="AK87" s="44">
        <f t="shared" si="44"/>
        <v>0</v>
      </c>
      <c r="AL87" s="42"/>
      <c r="AM87" s="43">
        <f>1666.67</f>
        <v>1666.67</v>
      </c>
      <c r="AN87" s="43">
        <f t="shared" si="45"/>
        <v>-1666.67</v>
      </c>
      <c r="AO87" s="44">
        <f t="shared" si="46"/>
        <v>0</v>
      </c>
      <c r="AP87" s="42"/>
      <c r="AQ87" s="43">
        <f>1666.67</f>
        <v>1666.67</v>
      </c>
      <c r="AR87" s="43">
        <f t="shared" si="47"/>
        <v>-1666.67</v>
      </c>
      <c r="AS87" s="44">
        <f t="shared" si="48"/>
        <v>0</v>
      </c>
      <c r="AT87" s="42"/>
      <c r="AU87" s="43">
        <f>1666.63</f>
        <v>1666.63</v>
      </c>
      <c r="AV87" s="43">
        <f t="shared" si="49"/>
        <v>-1666.63</v>
      </c>
      <c r="AW87" s="44">
        <f t="shared" si="50"/>
        <v>0</v>
      </c>
      <c r="AX87" s="43">
        <f t="shared" si="54"/>
        <v>18240.52</v>
      </c>
      <c r="AY87" s="43">
        <f t="shared" si="54"/>
        <v>20000.000000000004</v>
      </c>
      <c r="AZ87" s="43">
        <f t="shared" si="52"/>
        <v>-1759.4800000000032</v>
      </c>
      <c r="BA87" s="44">
        <f t="shared" si="53"/>
        <v>0.91202599999999989</v>
      </c>
    </row>
    <row r="88" spans="1:53" x14ac:dyDescent="0.3">
      <c r="A88" s="41" t="s">
        <v>195</v>
      </c>
      <c r="B88" s="42"/>
      <c r="C88" s="42"/>
      <c r="D88" s="43">
        <f t="shared" ref="D88:D103" si="55">(B88)-(C88)</f>
        <v>0</v>
      </c>
      <c r="E88" s="44" t="str">
        <f t="shared" ref="E88:E103" si="56">IF(C88=0,"",(B88)/(C88))</f>
        <v/>
      </c>
      <c r="F88" s="42"/>
      <c r="G88" s="42"/>
      <c r="H88" s="43">
        <f t="shared" ref="H88:H103" si="57">(F88)-(G88)</f>
        <v>0</v>
      </c>
      <c r="I88" s="44" t="str">
        <f t="shared" ref="I88:I103" si="58">IF(G88=0,"",(F88)/(G88))</f>
        <v/>
      </c>
      <c r="J88" s="42"/>
      <c r="K88" s="42"/>
      <c r="L88" s="43">
        <f t="shared" ref="L88:L103" si="59">(J88)-(K88)</f>
        <v>0</v>
      </c>
      <c r="M88" s="44" t="str">
        <f t="shared" ref="M88:M103" si="60">IF(K88=0,"",(J88)/(K88))</f>
        <v/>
      </c>
      <c r="N88" s="42"/>
      <c r="O88" s="42"/>
      <c r="P88" s="43">
        <f t="shared" ref="P88:P103" si="61">(N88)-(O88)</f>
        <v>0</v>
      </c>
      <c r="Q88" s="44" t="str">
        <f t="shared" ref="Q88:Q103" si="62">IF(O88=0,"",(N88)/(O88))</f>
        <v/>
      </c>
      <c r="R88" s="42"/>
      <c r="S88" s="42"/>
      <c r="T88" s="43">
        <f t="shared" ref="T88:T103" si="63">(R88)-(S88)</f>
        <v>0</v>
      </c>
      <c r="U88" s="44" t="str">
        <f t="shared" ref="U88:U103" si="64">IF(S88=0,"",(R88)/(S88))</f>
        <v/>
      </c>
      <c r="V88" s="42"/>
      <c r="W88" s="42"/>
      <c r="X88" s="43">
        <f t="shared" ref="X88:X103" si="65">(V88)-(W88)</f>
        <v>0</v>
      </c>
      <c r="Y88" s="44" t="str">
        <f t="shared" ref="Y88:Y103" si="66">IF(W88=0,"",(V88)/(W88))</f>
        <v/>
      </c>
      <c r="Z88" s="42"/>
      <c r="AA88" s="42"/>
      <c r="AB88" s="43">
        <f t="shared" ref="AB88:AB103" si="67">(Z88)-(AA88)</f>
        <v>0</v>
      </c>
      <c r="AC88" s="44" t="str">
        <f t="shared" ref="AC88:AC103" si="68">IF(AA88=0,"",(Z88)/(AA88))</f>
        <v/>
      </c>
      <c r="AD88" s="42"/>
      <c r="AE88" s="42"/>
      <c r="AF88" s="43">
        <f t="shared" ref="AF88:AF103" si="69">(AD88)-(AE88)</f>
        <v>0</v>
      </c>
      <c r="AG88" s="44" t="str">
        <f t="shared" ref="AG88:AG103" si="70">IF(AE88=0,"",(AD88)/(AE88))</f>
        <v/>
      </c>
      <c r="AH88" s="42"/>
      <c r="AI88" s="42"/>
      <c r="AJ88" s="43">
        <f t="shared" ref="AJ88:AJ103" si="71">(AH88)-(AI88)</f>
        <v>0</v>
      </c>
      <c r="AK88" s="44" t="str">
        <f t="shared" ref="AK88:AK103" si="72">IF(AI88=0,"",(AH88)/(AI88))</f>
        <v/>
      </c>
      <c r="AL88" s="42"/>
      <c r="AM88" s="42"/>
      <c r="AN88" s="43">
        <f t="shared" ref="AN88:AN103" si="73">(AL88)-(AM88)</f>
        <v>0</v>
      </c>
      <c r="AO88" s="44" t="str">
        <f t="shared" ref="AO88:AO103" si="74">IF(AM88=0,"",(AL88)/(AM88))</f>
        <v/>
      </c>
      <c r="AP88" s="42"/>
      <c r="AQ88" s="42"/>
      <c r="AR88" s="43">
        <f t="shared" ref="AR88:AR103" si="75">(AP88)-(AQ88)</f>
        <v>0</v>
      </c>
      <c r="AS88" s="44" t="str">
        <f t="shared" ref="AS88:AS103" si="76">IF(AQ88=0,"",(AP88)/(AQ88))</f>
        <v/>
      </c>
      <c r="AT88" s="42"/>
      <c r="AU88" s="42"/>
      <c r="AV88" s="43">
        <f t="shared" ref="AV88:AV103" si="77">(AT88)-(AU88)</f>
        <v>0</v>
      </c>
      <c r="AW88" s="44" t="str">
        <f t="shared" ref="AW88:AW103" si="78">IF(AU88=0,"",(AT88)/(AU88))</f>
        <v/>
      </c>
      <c r="AX88" s="43">
        <f t="shared" ref="AX88:AY103" si="79">(((((((((((B88)+(F88))+(J88))+(N88))+(R88))+(V88))+(Z88))+(AD88))+(AH88))+(AL88))+(AP88))+(AT88)</f>
        <v>0</v>
      </c>
      <c r="AY88" s="43">
        <f t="shared" si="79"/>
        <v>0</v>
      </c>
      <c r="AZ88" s="43">
        <f t="shared" ref="AZ88:AZ103" si="80">(AX88)-(AY88)</f>
        <v>0</v>
      </c>
      <c r="BA88" s="44" t="str">
        <f t="shared" ref="BA88:BA103" si="81">IF(AY88=0,"",(AX88)/(AY88))</f>
        <v/>
      </c>
    </row>
    <row r="89" spans="1:53" x14ac:dyDescent="0.3">
      <c r="A89" s="41" t="s">
        <v>196</v>
      </c>
      <c r="B89" s="43">
        <f>2395</f>
        <v>2395</v>
      </c>
      <c r="C89" s="43">
        <f>2395</f>
        <v>2395</v>
      </c>
      <c r="D89" s="43">
        <f t="shared" si="55"/>
        <v>0</v>
      </c>
      <c r="E89" s="44">
        <f t="shared" si="56"/>
        <v>1</v>
      </c>
      <c r="F89" s="43">
        <f>2395</f>
        <v>2395</v>
      </c>
      <c r="G89" s="43">
        <f>2395</f>
        <v>2395</v>
      </c>
      <c r="H89" s="43">
        <f t="shared" si="57"/>
        <v>0</v>
      </c>
      <c r="I89" s="44">
        <f t="shared" si="58"/>
        <v>1</v>
      </c>
      <c r="J89" s="43">
        <f>2395</f>
        <v>2395</v>
      </c>
      <c r="K89" s="43">
        <f>2395</f>
        <v>2395</v>
      </c>
      <c r="L89" s="43">
        <f t="shared" si="59"/>
        <v>0</v>
      </c>
      <c r="M89" s="44">
        <f t="shared" si="60"/>
        <v>1</v>
      </c>
      <c r="N89" s="43">
        <f>2395</f>
        <v>2395</v>
      </c>
      <c r="O89" s="43">
        <f>2395</f>
        <v>2395</v>
      </c>
      <c r="P89" s="43">
        <f t="shared" si="61"/>
        <v>0</v>
      </c>
      <c r="Q89" s="44">
        <f t="shared" si="62"/>
        <v>1</v>
      </c>
      <c r="R89" s="43">
        <f>2395</f>
        <v>2395</v>
      </c>
      <c r="S89" s="43">
        <f>2395</f>
        <v>2395</v>
      </c>
      <c r="T89" s="43">
        <f t="shared" si="63"/>
        <v>0</v>
      </c>
      <c r="U89" s="44">
        <f t="shared" si="64"/>
        <v>1</v>
      </c>
      <c r="V89" s="43">
        <f>2395</f>
        <v>2395</v>
      </c>
      <c r="W89" s="43">
        <f>2395</f>
        <v>2395</v>
      </c>
      <c r="X89" s="43">
        <f t="shared" si="65"/>
        <v>0</v>
      </c>
      <c r="Y89" s="44">
        <f t="shared" si="66"/>
        <v>1</v>
      </c>
      <c r="Z89" s="43">
        <f>2395</f>
        <v>2395</v>
      </c>
      <c r="AA89" s="43">
        <f>2395</f>
        <v>2395</v>
      </c>
      <c r="AB89" s="43">
        <f t="shared" si="67"/>
        <v>0</v>
      </c>
      <c r="AC89" s="44">
        <f t="shared" si="68"/>
        <v>1</v>
      </c>
      <c r="AD89" s="43">
        <f>2395</f>
        <v>2395</v>
      </c>
      <c r="AE89" s="43">
        <f>2395</f>
        <v>2395</v>
      </c>
      <c r="AF89" s="43">
        <f t="shared" si="69"/>
        <v>0</v>
      </c>
      <c r="AG89" s="44">
        <f t="shared" si="70"/>
        <v>1</v>
      </c>
      <c r="AH89" s="43">
        <f>4790</f>
        <v>4790</v>
      </c>
      <c r="AI89" s="43">
        <f>2395</f>
        <v>2395</v>
      </c>
      <c r="AJ89" s="43">
        <f t="shared" si="71"/>
        <v>2395</v>
      </c>
      <c r="AK89" s="44">
        <f t="shared" si="72"/>
        <v>2</v>
      </c>
      <c r="AL89" s="42"/>
      <c r="AM89" s="43">
        <f>2395</f>
        <v>2395</v>
      </c>
      <c r="AN89" s="43">
        <f t="shared" si="73"/>
        <v>-2395</v>
      </c>
      <c r="AO89" s="44">
        <f t="shared" si="74"/>
        <v>0</v>
      </c>
      <c r="AP89" s="42"/>
      <c r="AQ89" s="43">
        <f>2395</f>
        <v>2395</v>
      </c>
      <c r="AR89" s="43">
        <f t="shared" si="75"/>
        <v>-2395</v>
      </c>
      <c r="AS89" s="44">
        <f t="shared" si="76"/>
        <v>0</v>
      </c>
      <c r="AT89" s="42"/>
      <c r="AU89" s="43">
        <f>2395</f>
        <v>2395</v>
      </c>
      <c r="AV89" s="43">
        <f t="shared" si="77"/>
        <v>-2395</v>
      </c>
      <c r="AW89" s="44">
        <f t="shared" si="78"/>
        <v>0</v>
      </c>
      <c r="AX89" s="43">
        <f t="shared" si="79"/>
        <v>23950</v>
      </c>
      <c r="AY89" s="43">
        <f t="shared" si="79"/>
        <v>28740</v>
      </c>
      <c r="AZ89" s="43">
        <f t="shared" si="80"/>
        <v>-4790</v>
      </c>
      <c r="BA89" s="44">
        <f t="shared" si="81"/>
        <v>0.83333333333333337</v>
      </c>
    </row>
    <row r="90" spans="1:53" x14ac:dyDescent="0.3">
      <c r="A90" s="41" t="s">
        <v>197</v>
      </c>
      <c r="B90" s="42"/>
      <c r="C90" s="43">
        <f>666.67</f>
        <v>666.67</v>
      </c>
      <c r="D90" s="43">
        <f t="shared" si="55"/>
        <v>-666.67</v>
      </c>
      <c r="E90" s="44">
        <f t="shared" si="56"/>
        <v>0</v>
      </c>
      <c r="F90" s="42"/>
      <c r="G90" s="43">
        <f>666.67</f>
        <v>666.67</v>
      </c>
      <c r="H90" s="43">
        <f t="shared" si="57"/>
        <v>-666.67</v>
      </c>
      <c r="I90" s="44">
        <f t="shared" si="58"/>
        <v>0</v>
      </c>
      <c r="J90" s="43">
        <f>169.8</f>
        <v>169.8</v>
      </c>
      <c r="K90" s="43">
        <f>666.67</f>
        <v>666.67</v>
      </c>
      <c r="L90" s="43">
        <f t="shared" si="59"/>
        <v>-496.86999999999995</v>
      </c>
      <c r="M90" s="44">
        <f t="shared" si="60"/>
        <v>0.25469872650636749</v>
      </c>
      <c r="N90" s="43">
        <f>895</f>
        <v>895</v>
      </c>
      <c r="O90" s="43">
        <f>666.67</f>
        <v>666.67</v>
      </c>
      <c r="P90" s="43">
        <f t="shared" si="61"/>
        <v>228.33000000000004</v>
      </c>
      <c r="Q90" s="44">
        <f t="shared" si="62"/>
        <v>1.3424932875335625</v>
      </c>
      <c r="R90" s="42"/>
      <c r="S90" s="43">
        <f>666.67</f>
        <v>666.67</v>
      </c>
      <c r="T90" s="43">
        <f t="shared" si="63"/>
        <v>-666.67</v>
      </c>
      <c r="U90" s="44">
        <f t="shared" si="64"/>
        <v>0</v>
      </c>
      <c r="V90" s="43">
        <f>359</f>
        <v>359</v>
      </c>
      <c r="W90" s="43">
        <f>666.67</f>
        <v>666.67</v>
      </c>
      <c r="X90" s="43">
        <f t="shared" si="65"/>
        <v>-307.66999999999996</v>
      </c>
      <c r="Y90" s="44">
        <f t="shared" si="66"/>
        <v>0.53849730751346248</v>
      </c>
      <c r="Z90" s="43">
        <f>604.03</f>
        <v>604.03</v>
      </c>
      <c r="AA90" s="43">
        <f>666.67</f>
        <v>666.67</v>
      </c>
      <c r="AB90" s="43">
        <f t="shared" si="67"/>
        <v>-62.639999999999986</v>
      </c>
      <c r="AC90" s="44">
        <f t="shared" si="68"/>
        <v>0.90604046979765107</v>
      </c>
      <c r="AD90" s="42"/>
      <c r="AE90" s="43">
        <f>666.67</f>
        <v>666.67</v>
      </c>
      <c r="AF90" s="43">
        <f t="shared" si="69"/>
        <v>-666.67</v>
      </c>
      <c r="AG90" s="44">
        <f t="shared" si="70"/>
        <v>0</v>
      </c>
      <c r="AH90" s="43">
        <f>607.35</f>
        <v>607.35</v>
      </c>
      <c r="AI90" s="43">
        <f>666.67</f>
        <v>666.67</v>
      </c>
      <c r="AJ90" s="43">
        <f t="shared" si="71"/>
        <v>-59.319999999999936</v>
      </c>
      <c r="AK90" s="44">
        <f t="shared" si="72"/>
        <v>0.91102044489777556</v>
      </c>
      <c r="AL90" s="42"/>
      <c r="AM90" s="43">
        <f>666.67</f>
        <v>666.67</v>
      </c>
      <c r="AN90" s="43">
        <f t="shared" si="73"/>
        <v>-666.67</v>
      </c>
      <c r="AO90" s="44">
        <f t="shared" si="74"/>
        <v>0</v>
      </c>
      <c r="AP90" s="42"/>
      <c r="AQ90" s="43">
        <f>666.67</f>
        <v>666.67</v>
      </c>
      <c r="AR90" s="43">
        <f t="shared" si="75"/>
        <v>-666.67</v>
      </c>
      <c r="AS90" s="44">
        <f t="shared" si="76"/>
        <v>0</v>
      </c>
      <c r="AT90" s="42"/>
      <c r="AU90" s="43">
        <f>666.63</f>
        <v>666.63</v>
      </c>
      <c r="AV90" s="43">
        <f t="shared" si="77"/>
        <v>-666.63</v>
      </c>
      <c r="AW90" s="44">
        <f t="shared" si="78"/>
        <v>0</v>
      </c>
      <c r="AX90" s="43">
        <f t="shared" si="79"/>
        <v>2635.18</v>
      </c>
      <c r="AY90" s="43">
        <f t="shared" si="79"/>
        <v>8000</v>
      </c>
      <c r="AZ90" s="43">
        <f t="shared" si="80"/>
        <v>-5364.82</v>
      </c>
      <c r="BA90" s="44">
        <f t="shared" si="81"/>
        <v>0.32939749999999995</v>
      </c>
    </row>
    <row r="91" spans="1:53" x14ac:dyDescent="0.3">
      <c r="A91" s="41" t="s">
        <v>198</v>
      </c>
      <c r="B91" s="42"/>
      <c r="C91" s="43">
        <f>291.67</f>
        <v>291.67</v>
      </c>
      <c r="D91" s="43">
        <f t="shared" si="55"/>
        <v>-291.67</v>
      </c>
      <c r="E91" s="44">
        <f t="shared" si="56"/>
        <v>0</v>
      </c>
      <c r="F91" s="43">
        <f>3280</f>
        <v>3280</v>
      </c>
      <c r="G91" s="43">
        <f>291.67</f>
        <v>291.67</v>
      </c>
      <c r="H91" s="43">
        <f t="shared" si="57"/>
        <v>2988.33</v>
      </c>
      <c r="I91" s="44">
        <f t="shared" si="58"/>
        <v>11.245585764734116</v>
      </c>
      <c r="J91" s="42"/>
      <c r="K91" s="43">
        <f>291.67</f>
        <v>291.67</v>
      </c>
      <c r="L91" s="43">
        <f t="shared" si="59"/>
        <v>-291.67</v>
      </c>
      <c r="M91" s="44">
        <f t="shared" si="60"/>
        <v>0</v>
      </c>
      <c r="N91" s="42"/>
      <c r="O91" s="43">
        <f>291.67</f>
        <v>291.67</v>
      </c>
      <c r="P91" s="43">
        <f t="shared" si="61"/>
        <v>-291.67</v>
      </c>
      <c r="Q91" s="44">
        <f t="shared" si="62"/>
        <v>0</v>
      </c>
      <c r="R91" s="42"/>
      <c r="S91" s="43">
        <f>291.67</f>
        <v>291.67</v>
      </c>
      <c r="T91" s="43">
        <f t="shared" si="63"/>
        <v>-291.67</v>
      </c>
      <c r="U91" s="44">
        <f t="shared" si="64"/>
        <v>0</v>
      </c>
      <c r="V91" s="42"/>
      <c r="W91" s="43">
        <f>291.67</f>
        <v>291.67</v>
      </c>
      <c r="X91" s="43">
        <f t="shared" si="65"/>
        <v>-291.67</v>
      </c>
      <c r="Y91" s="44">
        <f t="shared" si="66"/>
        <v>0</v>
      </c>
      <c r="Z91" s="42"/>
      <c r="AA91" s="43">
        <f>291.67</f>
        <v>291.67</v>
      </c>
      <c r="AB91" s="43">
        <f t="shared" si="67"/>
        <v>-291.67</v>
      </c>
      <c r="AC91" s="44">
        <f t="shared" si="68"/>
        <v>0</v>
      </c>
      <c r="AD91" s="42"/>
      <c r="AE91" s="43">
        <f>291.67</f>
        <v>291.67</v>
      </c>
      <c r="AF91" s="43">
        <f t="shared" si="69"/>
        <v>-291.67</v>
      </c>
      <c r="AG91" s="44">
        <f t="shared" si="70"/>
        <v>0</v>
      </c>
      <c r="AH91" s="42"/>
      <c r="AI91" s="43">
        <f>291.67</f>
        <v>291.67</v>
      </c>
      <c r="AJ91" s="43">
        <f t="shared" si="71"/>
        <v>-291.67</v>
      </c>
      <c r="AK91" s="44">
        <f t="shared" si="72"/>
        <v>0</v>
      </c>
      <c r="AL91" s="42"/>
      <c r="AM91" s="43">
        <f>291.67</f>
        <v>291.67</v>
      </c>
      <c r="AN91" s="43">
        <f t="shared" si="73"/>
        <v>-291.67</v>
      </c>
      <c r="AO91" s="44">
        <f t="shared" si="74"/>
        <v>0</v>
      </c>
      <c r="AP91" s="42"/>
      <c r="AQ91" s="43">
        <f>291.67</f>
        <v>291.67</v>
      </c>
      <c r="AR91" s="43">
        <f t="shared" si="75"/>
        <v>-291.67</v>
      </c>
      <c r="AS91" s="44">
        <f t="shared" si="76"/>
        <v>0</v>
      </c>
      <c r="AT91" s="42"/>
      <c r="AU91" s="43">
        <f>291.63</f>
        <v>291.63</v>
      </c>
      <c r="AV91" s="43">
        <f t="shared" si="77"/>
        <v>-291.63</v>
      </c>
      <c r="AW91" s="44">
        <f t="shared" si="78"/>
        <v>0</v>
      </c>
      <c r="AX91" s="43">
        <f t="shared" si="79"/>
        <v>3280</v>
      </c>
      <c r="AY91" s="43">
        <f t="shared" si="79"/>
        <v>3500.0000000000005</v>
      </c>
      <c r="AZ91" s="43">
        <f t="shared" si="80"/>
        <v>-220.00000000000045</v>
      </c>
      <c r="BA91" s="44">
        <f t="shared" si="81"/>
        <v>0.93714285714285706</v>
      </c>
    </row>
    <row r="92" spans="1:53" x14ac:dyDescent="0.3">
      <c r="A92" s="41" t="s">
        <v>199</v>
      </c>
      <c r="B92" s="42"/>
      <c r="C92" s="43">
        <f>125</f>
        <v>125</v>
      </c>
      <c r="D92" s="43">
        <f t="shared" si="55"/>
        <v>-125</v>
      </c>
      <c r="E92" s="44">
        <f t="shared" si="56"/>
        <v>0</v>
      </c>
      <c r="F92" s="42"/>
      <c r="G92" s="43">
        <f>125</f>
        <v>125</v>
      </c>
      <c r="H92" s="43">
        <f t="shared" si="57"/>
        <v>-125</v>
      </c>
      <c r="I92" s="44">
        <f t="shared" si="58"/>
        <v>0</v>
      </c>
      <c r="J92" s="42"/>
      <c r="K92" s="43">
        <f>125</f>
        <v>125</v>
      </c>
      <c r="L92" s="43">
        <f t="shared" si="59"/>
        <v>-125</v>
      </c>
      <c r="M92" s="44">
        <f t="shared" si="60"/>
        <v>0</v>
      </c>
      <c r="N92" s="42"/>
      <c r="O92" s="43">
        <f>125</f>
        <v>125</v>
      </c>
      <c r="P92" s="43">
        <f t="shared" si="61"/>
        <v>-125</v>
      </c>
      <c r="Q92" s="44">
        <f t="shared" si="62"/>
        <v>0</v>
      </c>
      <c r="R92" s="42"/>
      <c r="S92" s="43">
        <f>125</f>
        <v>125</v>
      </c>
      <c r="T92" s="43">
        <f t="shared" si="63"/>
        <v>-125</v>
      </c>
      <c r="U92" s="44">
        <f t="shared" si="64"/>
        <v>0</v>
      </c>
      <c r="V92" s="43">
        <f>92.78</f>
        <v>92.78</v>
      </c>
      <c r="W92" s="43">
        <f>125</f>
        <v>125</v>
      </c>
      <c r="X92" s="43">
        <f t="shared" si="65"/>
        <v>-32.22</v>
      </c>
      <c r="Y92" s="44">
        <f t="shared" si="66"/>
        <v>0.74224000000000001</v>
      </c>
      <c r="Z92" s="42"/>
      <c r="AA92" s="43">
        <f>125</f>
        <v>125</v>
      </c>
      <c r="AB92" s="43">
        <f t="shared" si="67"/>
        <v>-125</v>
      </c>
      <c r="AC92" s="44">
        <f t="shared" si="68"/>
        <v>0</v>
      </c>
      <c r="AD92" s="42"/>
      <c r="AE92" s="43">
        <f>125</f>
        <v>125</v>
      </c>
      <c r="AF92" s="43">
        <f t="shared" si="69"/>
        <v>-125</v>
      </c>
      <c r="AG92" s="44">
        <f t="shared" si="70"/>
        <v>0</v>
      </c>
      <c r="AH92" s="42"/>
      <c r="AI92" s="43">
        <f>125</f>
        <v>125</v>
      </c>
      <c r="AJ92" s="43">
        <f t="shared" si="71"/>
        <v>-125</v>
      </c>
      <c r="AK92" s="44">
        <f t="shared" si="72"/>
        <v>0</v>
      </c>
      <c r="AL92" s="42"/>
      <c r="AM92" s="43">
        <f>125</f>
        <v>125</v>
      </c>
      <c r="AN92" s="43">
        <f t="shared" si="73"/>
        <v>-125</v>
      </c>
      <c r="AO92" s="44">
        <f t="shared" si="74"/>
        <v>0</v>
      </c>
      <c r="AP92" s="42"/>
      <c r="AQ92" s="43">
        <f>125</f>
        <v>125</v>
      </c>
      <c r="AR92" s="43">
        <f t="shared" si="75"/>
        <v>-125</v>
      </c>
      <c r="AS92" s="44">
        <f t="shared" si="76"/>
        <v>0</v>
      </c>
      <c r="AT92" s="42"/>
      <c r="AU92" s="43">
        <f>125</f>
        <v>125</v>
      </c>
      <c r="AV92" s="43">
        <f t="shared" si="77"/>
        <v>-125</v>
      </c>
      <c r="AW92" s="44">
        <f t="shared" si="78"/>
        <v>0</v>
      </c>
      <c r="AX92" s="43">
        <f t="shared" si="79"/>
        <v>92.78</v>
      </c>
      <c r="AY92" s="43">
        <f t="shared" si="79"/>
        <v>1500</v>
      </c>
      <c r="AZ92" s="43">
        <f t="shared" si="80"/>
        <v>-1407.22</v>
      </c>
      <c r="BA92" s="44">
        <f t="shared" si="81"/>
        <v>6.1853333333333337E-2</v>
      </c>
    </row>
    <row r="93" spans="1:53" x14ac:dyDescent="0.3">
      <c r="A93" s="41" t="s">
        <v>200</v>
      </c>
      <c r="B93" s="43">
        <f>114.99</f>
        <v>114.99</v>
      </c>
      <c r="C93" s="43">
        <f>1250</f>
        <v>1250</v>
      </c>
      <c r="D93" s="43">
        <f t="shared" si="55"/>
        <v>-1135.01</v>
      </c>
      <c r="E93" s="44">
        <f t="shared" si="56"/>
        <v>9.199199999999999E-2</v>
      </c>
      <c r="F93" s="43">
        <f>2005.59</f>
        <v>2005.59</v>
      </c>
      <c r="G93" s="43">
        <f>1250</f>
        <v>1250</v>
      </c>
      <c r="H93" s="43">
        <f t="shared" si="57"/>
        <v>755.58999999999992</v>
      </c>
      <c r="I93" s="44">
        <f t="shared" si="58"/>
        <v>1.6044719999999999</v>
      </c>
      <c r="J93" s="43">
        <f>287.81</f>
        <v>287.81</v>
      </c>
      <c r="K93" s="43">
        <f>1250</f>
        <v>1250</v>
      </c>
      <c r="L93" s="43">
        <f t="shared" si="59"/>
        <v>-962.19</v>
      </c>
      <c r="M93" s="44">
        <f t="shared" si="60"/>
        <v>0.23024800000000001</v>
      </c>
      <c r="N93" s="43">
        <f>158</f>
        <v>158</v>
      </c>
      <c r="O93" s="43">
        <f>1250</f>
        <v>1250</v>
      </c>
      <c r="P93" s="43">
        <f t="shared" si="61"/>
        <v>-1092</v>
      </c>
      <c r="Q93" s="44">
        <f t="shared" si="62"/>
        <v>0.12640000000000001</v>
      </c>
      <c r="R93" s="43">
        <f>199.18</f>
        <v>199.18</v>
      </c>
      <c r="S93" s="43">
        <f>1250</f>
        <v>1250</v>
      </c>
      <c r="T93" s="43">
        <f t="shared" si="63"/>
        <v>-1050.82</v>
      </c>
      <c r="U93" s="44">
        <f t="shared" si="64"/>
        <v>0.15934400000000001</v>
      </c>
      <c r="V93" s="43">
        <f>1522</f>
        <v>1522</v>
      </c>
      <c r="W93" s="43">
        <f>1250</f>
        <v>1250</v>
      </c>
      <c r="X93" s="43">
        <f t="shared" si="65"/>
        <v>272</v>
      </c>
      <c r="Y93" s="44">
        <f t="shared" si="66"/>
        <v>1.2176</v>
      </c>
      <c r="Z93" s="43">
        <f>199.18</f>
        <v>199.18</v>
      </c>
      <c r="AA93" s="43">
        <f>1250</f>
        <v>1250</v>
      </c>
      <c r="AB93" s="43">
        <f t="shared" si="67"/>
        <v>-1050.82</v>
      </c>
      <c r="AC93" s="44">
        <f t="shared" si="68"/>
        <v>0.15934400000000001</v>
      </c>
      <c r="AD93" s="43">
        <f>143.64</f>
        <v>143.63999999999999</v>
      </c>
      <c r="AE93" s="43">
        <f>1250</f>
        <v>1250</v>
      </c>
      <c r="AF93" s="43">
        <f t="shared" si="69"/>
        <v>-1106.3600000000001</v>
      </c>
      <c r="AG93" s="44">
        <f t="shared" si="70"/>
        <v>0.11491199999999999</v>
      </c>
      <c r="AH93" s="43">
        <f>2045.1</f>
        <v>2045.1</v>
      </c>
      <c r="AI93" s="43">
        <f>1250</f>
        <v>1250</v>
      </c>
      <c r="AJ93" s="43">
        <f t="shared" si="71"/>
        <v>795.09999999999991</v>
      </c>
      <c r="AK93" s="44">
        <f t="shared" si="72"/>
        <v>1.63608</v>
      </c>
      <c r="AL93" s="42"/>
      <c r="AM93" s="43">
        <f>1250</f>
        <v>1250</v>
      </c>
      <c r="AN93" s="43">
        <f t="shared" si="73"/>
        <v>-1250</v>
      </c>
      <c r="AO93" s="44">
        <f t="shared" si="74"/>
        <v>0</v>
      </c>
      <c r="AP93" s="42"/>
      <c r="AQ93" s="43">
        <f>1250</f>
        <v>1250</v>
      </c>
      <c r="AR93" s="43">
        <f t="shared" si="75"/>
        <v>-1250</v>
      </c>
      <c r="AS93" s="44">
        <f t="shared" si="76"/>
        <v>0</v>
      </c>
      <c r="AT93" s="42"/>
      <c r="AU93" s="43">
        <f>1250</f>
        <v>1250</v>
      </c>
      <c r="AV93" s="43">
        <f t="shared" si="77"/>
        <v>-1250</v>
      </c>
      <c r="AW93" s="44">
        <f t="shared" si="78"/>
        <v>0</v>
      </c>
      <c r="AX93" s="43">
        <f t="shared" si="79"/>
        <v>6675.49</v>
      </c>
      <c r="AY93" s="43">
        <f t="shared" si="79"/>
        <v>15000</v>
      </c>
      <c r="AZ93" s="43">
        <f t="shared" si="80"/>
        <v>-8324.51</v>
      </c>
      <c r="BA93" s="44">
        <f t="shared" si="81"/>
        <v>0.44503266666666663</v>
      </c>
    </row>
    <row r="94" spans="1:53" x14ac:dyDescent="0.3">
      <c r="A94" s="41" t="s">
        <v>201</v>
      </c>
      <c r="B94" s="45">
        <f>(((((B88)+(B89))+(B90))+(B91))+(B92))+(B93)</f>
        <v>2509.9899999999998</v>
      </c>
      <c r="C94" s="45">
        <f>(((((C88)+(C89))+(C90))+(C91))+(C92))+(C93)</f>
        <v>4728.34</v>
      </c>
      <c r="D94" s="45">
        <f t="shared" si="55"/>
        <v>-2218.3500000000004</v>
      </c>
      <c r="E94" s="46">
        <f t="shared" si="56"/>
        <v>0.53083957583422503</v>
      </c>
      <c r="F94" s="45">
        <f>(((((F88)+(F89))+(F90))+(F91))+(F92))+(F93)</f>
        <v>7680.59</v>
      </c>
      <c r="G94" s="45">
        <f>(((((G88)+(G89))+(G90))+(G91))+(G92))+(G93)</f>
        <v>4728.34</v>
      </c>
      <c r="H94" s="45">
        <f t="shared" si="57"/>
        <v>2952.25</v>
      </c>
      <c r="I94" s="46">
        <f t="shared" si="58"/>
        <v>1.6243734587614258</v>
      </c>
      <c r="J94" s="45">
        <f>(((((J88)+(J89))+(J90))+(J91))+(J92))+(J93)</f>
        <v>2852.61</v>
      </c>
      <c r="K94" s="45">
        <f>(((((K88)+(K89))+(K90))+(K91))+(K92))+(K93)</f>
        <v>4728.34</v>
      </c>
      <c r="L94" s="45">
        <f t="shared" si="59"/>
        <v>-1875.73</v>
      </c>
      <c r="M94" s="46">
        <f t="shared" si="60"/>
        <v>0.60330052407398793</v>
      </c>
      <c r="N94" s="45">
        <f>(((((N88)+(N89))+(N90))+(N91))+(N92))+(N93)</f>
        <v>3448</v>
      </c>
      <c r="O94" s="45">
        <f>(((((O88)+(O89))+(O90))+(O91))+(O92))+(O93)</f>
        <v>4728.34</v>
      </c>
      <c r="P94" s="45">
        <f t="shared" si="61"/>
        <v>-1280.3400000000001</v>
      </c>
      <c r="Q94" s="46">
        <f t="shared" si="62"/>
        <v>0.72921997995068033</v>
      </c>
      <c r="R94" s="45">
        <f>(((((R88)+(R89))+(R90))+(R91))+(R92))+(R93)</f>
        <v>2594.1799999999998</v>
      </c>
      <c r="S94" s="45">
        <f>(((((S88)+(S89))+(S90))+(S91))+(S92))+(S93)</f>
        <v>4728.34</v>
      </c>
      <c r="T94" s="45">
        <f t="shared" si="63"/>
        <v>-2134.1600000000003</v>
      </c>
      <c r="U94" s="46">
        <f t="shared" si="64"/>
        <v>0.54864497899897213</v>
      </c>
      <c r="V94" s="45">
        <f>(((((V88)+(V89))+(V90))+(V91))+(V92))+(V93)</f>
        <v>4368.7800000000007</v>
      </c>
      <c r="W94" s="45">
        <f>(((((W88)+(W89))+(W90))+(W91))+(W92))+(W93)</f>
        <v>4728.34</v>
      </c>
      <c r="X94" s="45">
        <f t="shared" si="65"/>
        <v>-359.55999999999949</v>
      </c>
      <c r="Y94" s="46">
        <f t="shared" si="66"/>
        <v>0.92395639907451677</v>
      </c>
      <c r="Z94" s="45">
        <f>(((((Z88)+(Z89))+(Z90))+(Z91))+(Z92))+(Z93)</f>
        <v>3198.2099999999996</v>
      </c>
      <c r="AA94" s="45">
        <f>(((((AA88)+(AA89))+(AA90))+(AA91))+(AA92))+(AA93)</f>
        <v>4728.34</v>
      </c>
      <c r="AB94" s="45">
        <f t="shared" si="67"/>
        <v>-1530.1300000000006</v>
      </c>
      <c r="AC94" s="46">
        <f t="shared" si="68"/>
        <v>0.67639171463981007</v>
      </c>
      <c r="AD94" s="45">
        <f>(((((AD88)+(AD89))+(AD90))+(AD91))+(AD92))+(AD93)</f>
        <v>2538.64</v>
      </c>
      <c r="AE94" s="45">
        <f>(((((AE88)+(AE89))+(AE90))+(AE91))+(AE92))+(AE93)</f>
        <v>4728.34</v>
      </c>
      <c r="AF94" s="45">
        <f t="shared" si="69"/>
        <v>-2189.7000000000003</v>
      </c>
      <c r="AG94" s="46">
        <f t="shared" si="70"/>
        <v>0.53689878477436048</v>
      </c>
      <c r="AH94" s="45">
        <f>(((((AH88)+(AH89))+(AH90))+(AH91))+(AH92))+(AH93)</f>
        <v>7442.4500000000007</v>
      </c>
      <c r="AI94" s="45">
        <f>(((((AI88)+(AI89))+(AI90))+(AI91))+(AI92))+(AI93)</f>
        <v>4728.34</v>
      </c>
      <c r="AJ94" s="45">
        <f t="shared" si="71"/>
        <v>2714.1100000000006</v>
      </c>
      <c r="AK94" s="46">
        <f t="shared" si="72"/>
        <v>1.5740090602621639</v>
      </c>
      <c r="AL94" s="45">
        <f>(((((AL88)+(AL89))+(AL90))+(AL91))+(AL92))+(AL93)</f>
        <v>0</v>
      </c>
      <c r="AM94" s="45">
        <f>(((((AM88)+(AM89))+(AM90))+(AM91))+(AM92))+(AM93)</f>
        <v>4728.34</v>
      </c>
      <c r="AN94" s="45">
        <f t="shared" si="73"/>
        <v>-4728.34</v>
      </c>
      <c r="AO94" s="46">
        <f t="shared" si="74"/>
        <v>0</v>
      </c>
      <c r="AP94" s="45">
        <f>(((((AP88)+(AP89))+(AP90))+(AP91))+(AP92))+(AP93)</f>
        <v>0</v>
      </c>
      <c r="AQ94" s="45">
        <f>(((((AQ88)+(AQ89))+(AQ90))+(AQ91))+(AQ92))+(AQ93)</f>
        <v>4728.34</v>
      </c>
      <c r="AR94" s="45">
        <f t="shared" si="75"/>
        <v>-4728.34</v>
      </c>
      <c r="AS94" s="46">
        <f t="shared" si="76"/>
        <v>0</v>
      </c>
      <c r="AT94" s="45">
        <f>(((((AT88)+(AT89))+(AT90))+(AT91))+(AT92))+(AT93)</f>
        <v>0</v>
      </c>
      <c r="AU94" s="45">
        <f>(((((AU88)+(AU89))+(AU90))+(AU91))+(AU92))+(AU93)</f>
        <v>4728.26</v>
      </c>
      <c r="AV94" s="45">
        <f t="shared" si="77"/>
        <v>-4728.26</v>
      </c>
      <c r="AW94" s="46">
        <f t="shared" si="78"/>
        <v>0</v>
      </c>
      <c r="AX94" s="45">
        <f t="shared" si="79"/>
        <v>36633.449999999997</v>
      </c>
      <c r="AY94" s="45">
        <f t="shared" si="79"/>
        <v>56739.999999999993</v>
      </c>
      <c r="AZ94" s="45">
        <f t="shared" si="80"/>
        <v>-20106.549999999996</v>
      </c>
      <c r="BA94" s="46">
        <f t="shared" si="81"/>
        <v>0.64563711667254142</v>
      </c>
    </row>
    <row r="95" spans="1:53" x14ac:dyDescent="0.3">
      <c r="A95" s="41" t="s">
        <v>202</v>
      </c>
      <c r="B95" s="42"/>
      <c r="C95" s="42"/>
      <c r="D95" s="43">
        <f t="shared" si="55"/>
        <v>0</v>
      </c>
      <c r="E95" s="44" t="str">
        <f t="shared" si="56"/>
        <v/>
      </c>
      <c r="F95" s="42"/>
      <c r="G95" s="42"/>
      <c r="H95" s="43">
        <f t="shared" si="57"/>
        <v>0</v>
      </c>
      <c r="I95" s="44" t="str">
        <f t="shared" si="58"/>
        <v/>
      </c>
      <c r="J95" s="42"/>
      <c r="K95" s="42"/>
      <c r="L95" s="43">
        <f t="shared" si="59"/>
        <v>0</v>
      </c>
      <c r="M95" s="44" t="str">
        <f t="shared" si="60"/>
        <v/>
      </c>
      <c r="N95" s="42"/>
      <c r="O95" s="42"/>
      <c r="P95" s="43">
        <f t="shared" si="61"/>
        <v>0</v>
      </c>
      <c r="Q95" s="44" t="str">
        <f t="shared" si="62"/>
        <v/>
      </c>
      <c r="R95" s="42"/>
      <c r="S95" s="42"/>
      <c r="T95" s="43">
        <f t="shared" si="63"/>
        <v>0</v>
      </c>
      <c r="U95" s="44" t="str">
        <f t="shared" si="64"/>
        <v/>
      </c>
      <c r="V95" s="42"/>
      <c r="W95" s="42"/>
      <c r="X95" s="43">
        <f t="shared" si="65"/>
        <v>0</v>
      </c>
      <c r="Y95" s="44" t="str">
        <f t="shared" si="66"/>
        <v/>
      </c>
      <c r="Z95" s="42"/>
      <c r="AA95" s="42"/>
      <c r="AB95" s="43">
        <f t="shared" si="67"/>
        <v>0</v>
      </c>
      <c r="AC95" s="44" t="str">
        <f t="shared" si="68"/>
        <v/>
      </c>
      <c r="AD95" s="42"/>
      <c r="AE95" s="42"/>
      <c r="AF95" s="43">
        <f t="shared" si="69"/>
        <v>0</v>
      </c>
      <c r="AG95" s="44" t="str">
        <f t="shared" si="70"/>
        <v/>
      </c>
      <c r="AH95" s="42"/>
      <c r="AI95" s="42"/>
      <c r="AJ95" s="43">
        <f t="shared" si="71"/>
        <v>0</v>
      </c>
      <c r="AK95" s="44" t="str">
        <f t="shared" si="72"/>
        <v/>
      </c>
      <c r="AL95" s="42"/>
      <c r="AM95" s="42"/>
      <c r="AN95" s="43">
        <f t="shared" si="73"/>
        <v>0</v>
      </c>
      <c r="AO95" s="44" t="str">
        <f t="shared" si="74"/>
        <v/>
      </c>
      <c r="AP95" s="42"/>
      <c r="AQ95" s="42"/>
      <c r="AR95" s="43">
        <f t="shared" si="75"/>
        <v>0</v>
      </c>
      <c r="AS95" s="44" t="str">
        <f t="shared" si="76"/>
        <v/>
      </c>
      <c r="AT95" s="42"/>
      <c r="AU95" s="42"/>
      <c r="AV95" s="43">
        <f t="shared" si="77"/>
        <v>0</v>
      </c>
      <c r="AW95" s="44" t="str">
        <f t="shared" si="78"/>
        <v/>
      </c>
      <c r="AX95" s="43">
        <f t="shared" si="79"/>
        <v>0</v>
      </c>
      <c r="AY95" s="43">
        <f t="shared" si="79"/>
        <v>0</v>
      </c>
      <c r="AZ95" s="43">
        <f t="shared" si="80"/>
        <v>0</v>
      </c>
      <c r="BA95" s="44" t="str">
        <f t="shared" si="81"/>
        <v/>
      </c>
    </row>
    <row r="96" spans="1:53" x14ac:dyDescent="0.3">
      <c r="A96" s="41" t="s">
        <v>203</v>
      </c>
      <c r="B96" s="43">
        <f>465.57</f>
        <v>465.57</v>
      </c>
      <c r="C96" s="43">
        <f>583.33</f>
        <v>583.33000000000004</v>
      </c>
      <c r="D96" s="43">
        <f t="shared" si="55"/>
        <v>-117.76000000000005</v>
      </c>
      <c r="E96" s="44">
        <f t="shared" si="56"/>
        <v>0.7981245607117754</v>
      </c>
      <c r="F96" s="43">
        <f>937.26</f>
        <v>937.26</v>
      </c>
      <c r="G96" s="43">
        <f>583.33</f>
        <v>583.33000000000004</v>
      </c>
      <c r="H96" s="43">
        <f t="shared" si="57"/>
        <v>353.92999999999995</v>
      </c>
      <c r="I96" s="44">
        <f t="shared" si="58"/>
        <v>1.6067406099463424</v>
      </c>
      <c r="J96" s="43">
        <f>468.24</f>
        <v>468.24</v>
      </c>
      <c r="K96" s="43">
        <f>583.33</f>
        <v>583.33000000000004</v>
      </c>
      <c r="L96" s="43">
        <f t="shared" si="59"/>
        <v>-115.09000000000003</v>
      </c>
      <c r="M96" s="44">
        <f t="shared" si="60"/>
        <v>0.80270172972416987</v>
      </c>
      <c r="N96" s="42"/>
      <c r="O96" s="43">
        <f>583.33</f>
        <v>583.33000000000004</v>
      </c>
      <c r="P96" s="43">
        <f t="shared" si="61"/>
        <v>-583.33000000000004</v>
      </c>
      <c r="Q96" s="44">
        <f t="shared" si="62"/>
        <v>0</v>
      </c>
      <c r="R96" s="43">
        <f>468.24</f>
        <v>468.24</v>
      </c>
      <c r="S96" s="43">
        <f>583.33</f>
        <v>583.33000000000004</v>
      </c>
      <c r="T96" s="43">
        <f t="shared" si="63"/>
        <v>-115.09000000000003</v>
      </c>
      <c r="U96" s="44">
        <f t="shared" si="64"/>
        <v>0.80270172972416987</v>
      </c>
      <c r="V96" s="43">
        <f>468.33</f>
        <v>468.33</v>
      </c>
      <c r="W96" s="43">
        <f>583.33</f>
        <v>583.33000000000004</v>
      </c>
      <c r="X96" s="43">
        <f t="shared" si="65"/>
        <v>-115.00000000000006</v>
      </c>
      <c r="Y96" s="44">
        <f t="shared" si="66"/>
        <v>0.80285601632009318</v>
      </c>
      <c r="Z96" s="42"/>
      <c r="AA96" s="43">
        <f>583.33</f>
        <v>583.33000000000004</v>
      </c>
      <c r="AB96" s="43">
        <f t="shared" si="67"/>
        <v>-583.33000000000004</v>
      </c>
      <c r="AC96" s="44">
        <f t="shared" si="68"/>
        <v>0</v>
      </c>
      <c r="AD96" s="43">
        <f>942.21</f>
        <v>942.21</v>
      </c>
      <c r="AE96" s="43">
        <f>583.33</f>
        <v>583.33000000000004</v>
      </c>
      <c r="AF96" s="43">
        <f t="shared" si="69"/>
        <v>358.88</v>
      </c>
      <c r="AG96" s="44">
        <f t="shared" si="70"/>
        <v>1.6152263727221299</v>
      </c>
      <c r="AH96" s="43">
        <f>1420.54</f>
        <v>1420.54</v>
      </c>
      <c r="AI96" s="43">
        <f>583.33</f>
        <v>583.33000000000004</v>
      </c>
      <c r="AJ96" s="43">
        <f t="shared" si="71"/>
        <v>837.20999999999992</v>
      </c>
      <c r="AK96" s="44">
        <f t="shared" si="72"/>
        <v>2.4352253441448233</v>
      </c>
      <c r="AL96" s="42"/>
      <c r="AM96" s="43">
        <f>583.33</f>
        <v>583.33000000000004</v>
      </c>
      <c r="AN96" s="43">
        <f t="shared" si="73"/>
        <v>-583.33000000000004</v>
      </c>
      <c r="AO96" s="44">
        <f t="shared" si="74"/>
        <v>0</v>
      </c>
      <c r="AP96" s="42"/>
      <c r="AQ96" s="43">
        <f>583.33</f>
        <v>583.33000000000004</v>
      </c>
      <c r="AR96" s="43">
        <f t="shared" si="75"/>
        <v>-583.33000000000004</v>
      </c>
      <c r="AS96" s="44">
        <f t="shared" si="76"/>
        <v>0</v>
      </c>
      <c r="AT96" s="42"/>
      <c r="AU96" s="43">
        <f>583.37</f>
        <v>583.37</v>
      </c>
      <c r="AV96" s="43">
        <f t="shared" si="77"/>
        <v>-583.37</v>
      </c>
      <c r="AW96" s="44">
        <f t="shared" si="78"/>
        <v>0</v>
      </c>
      <c r="AX96" s="43">
        <f t="shared" si="79"/>
        <v>5170.3899999999994</v>
      </c>
      <c r="AY96" s="43">
        <f t="shared" si="79"/>
        <v>7000</v>
      </c>
      <c r="AZ96" s="43">
        <f t="shared" si="80"/>
        <v>-1829.6100000000006</v>
      </c>
      <c r="BA96" s="44">
        <f t="shared" si="81"/>
        <v>0.73862714285714282</v>
      </c>
    </row>
    <row r="97" spans="1:53" x14ac:dyDescent="0.3">
      <c r="A97" s="41" t="s">
        <v>204</v>
      </c>
      <c r="B97" s="43">
        <f>1161.07</f>
        <v>1161.07</v>
      </c>
      <c r="C97" s="43">
        <f>1000</f>
        <v>1000</v>
      </c>
      <c r="D97" s="43">
        <f t="shared" si="55"/>
        <v>161.06999999999994</v>
      </c>
      <c r="E97" s="44">
        <f t="shared" si="56"/>
        <v>1.16107</v>
      </c>
      <c r="F97" s="43">
        <f>1118.11</f>
        <v>1118.1099999999999</v>
      </c>
      <c r="G97" s="43">
        <f>1000</f>
        <v>1000</v>
      </c>
      <c r="H97" s="43">
        <f t="shared" si="57"/>
        <v>118.1099999999999</v>
      </c>
      <c r="I97" s="44">
        <f t="shared" si="58"/>
        <v>1.1181099999999999</v>
      </c>
      <c r="J97" s="43">
        <f>673.64</f>
        <v>673.64</v>
      </c>
      <c r="K97" s="43">
        <f>1000</f>
        <v>1000</v>
      </c>
      <c r="L97" s="43">
        <f t="shared" si="59"/>
        <v>-326.36</v>
      </c>
      <c r="M97" s="44">
        <f t="shared" si="60"/>
        <v>0.67364000000000002</v>
      </c>
      <c r="N97" s="43">
        <f>608.09</f>
        <v>608.09</v>
      </c>
      <c r="O97" s="43">
        <f>1000</f>
        <v>1000</v>
      </c>
      <c r="P97" s="43">
        <f t="shared" si="61"/>
        <v>-391.90999999999997</v>
      </c>
      <c r="Q97" s="44">
        <f t="shared" si="62"/>
        <v>0.60809000000000002</v>
      </c>
      <c r="R97" s="43">
        <f>664.54</f>
        <v>664.54</v>
      </c>
      <c r="S97" s="43">
        <f>1000</f>
        <v>1000</v>
      </c>
      <c r="T97" s="43">
        <f t="shared" si="63"/>
        <v>-335.46000000000004</v>
      </c>
      <c r="U97" s="44">
        <f t="shared" si="64"/>
        <v>0.66453999999999991</v>
      </c>
      <c r="V97" s="43">
        <f>911.76</f>
        <v>911.76</v>
      </c>
      <c r="W97" s="43">
        <f>1000</f>
        <v>1000</v>
      </c>
      <c r="X97" s="43">
        <f t="shared" si="65"/>
        <v>-88.240000000000009</v>
      </c>
      <c r="Y97" s="44">
        <f t="shared" si="66"/>
        <v>0.91176000000000001</v>
      </c>
      <c r="Z97" s="42"/>
      <c r="AA97" s="43">
        <f>1000</f>
        <v>1000</v>
      </c>
      <c r="AB97" s="43">
        <f t="shared" si="67"/>
        <v>-1000</v>
      </c>
      <c r="AC97" s="44">
        <f t="shared" si="68"/>
        <v>0</v>
      </c>
      <c r="AD97" s="43">
        <f>1965.9</f>
        <v>1965.9</v>
      </c>
      <c r="AE97" s="43">
        <f>1000</f>
        <v>1000</v>
      </c>
      <c r="AF97" s="43">
        <f t="shared" si="69"/>
        <v>965.90000000000009</v>
      </c>
      <c r="AG97" s="44">
        <f t="shared" si="70"/>
        <v>1.9659</v>
      </c>
      <c r="AH97" s="43">
        <f>909.5</f>
        <v>909.5</v>
      </c>
      <c r="AI97" s="43">
        <f>1000</f>
        <v>1000</v>
      </c>
      <c r="AJ97" s="43">
        <f t="shared" si="71"/>
        <v>-90.5</v>
      </c>
      <c r="AK97" s="44">
        <f t="shared" si="72"/>
        <v>0.90949999999999998</v>
      </c>
      <c r="AL97" s="42"/>
      <c r="AM97" s="43">
        <f>1000</f>
        <v>1000</v>
      </c>
      <c r="AN97" s="43">
        <f t="shared" si="73"/>
        <v>-1000</v>
      </c>
      <c r="AO97" s="44">
        <f t="shared" si="74"/>
        <v>0</v>
      </c>
      <c r="AP97" s="42"/>
      <c r="AQ97" s="43">
        <f>1000</f>
        <v>1000</v>
      </c>
      <c r="AR97" s="43">
        <f t="shared" si="75"/>
        <v>-1000</v>
      </c>
      <c r="AS97" s="44">
        <f t="shared" si="76"/>
        <v>0</v>
      </c>
      <c r="AT97" s="42"/>
      <c r="AU97" s="43">
        <f>1000</f>
        <v>1000</v>
      </c>
      <c r="AV97" s="43">
        <f t="shared" si="77"/>
        <v>-1000</v>
      </c>
      <c r="AW97" s="44">
        <f t="shared" si="78"/>
        <v>0</v>
      </c>
      <c r="AX97" s="43">
        <f t="shared" si="79"/>
        <v>8012.6100000000006</v>
      </c>
      <c r="AY97" s="43">
        <f t="shared" si="79"/>
        <v>12000</v>
      </c>
      <c r="AZ97" s="43">
        <f t="shared" si="80"/>
        <v>-3987.3899999999994</v>
      </c>
      <c r="BA97" s="44">
        <f t="shared" si="81"/>
        <v>0.66771750000000007</v>
      </c>
    </row>
    <row r="98" spans="1:53" x14ac:dyDescent="0.3">
      <c r="A98" s="41" t="s">
        <v>205</v>
      </c>
      <c r="B98" s="43">
        <f>40</f>
        <v>40</v>
      </c>
      <c r="C98" s="43">
        <f>41.67</f>
        <v>41.67</v>
      </c>
      <c r="D98" s="43">
        <f t="shared" si="55"/>
        <v>-1.6700000000000017</v>
      </c>
      <c r="E98" s="44">
        <f t="shared" si="56"/>
        <v>0.95992320614350846</v>
      </c>
      <c r="F98" s="43">
        <f>80</f>
        <v>80</v>
      </c>
      <c r="G98" s="43">
        <f>41.67</f>
        <v>41.67</v>
      </c>
      <c r="H98" s="43">
        <f t="shared" si="57"/>
        <v>38.33</v>
      </c>
      <c r="I98" s="44">
        <f t="shared" si="58"/>
        <v>1.9198464122870169</v>
      </c>
      <c r="J98" s="42"/>
      <c r="K98" s="43">
        <f>41.67</f>
        <v>41.67</v>
      </c>
      <c r="L98" s="43">
        <f t="shared" si="59"/>
        <v>-41.67</v>
      </c>
      <c r="M98" s="44">
        <f t="shared" si="60"/>
        <v>0</v>
      </c>
      <c r="N98" s="43">
        <f>40</f>
        <v>40</v>
      </c>
      <c r="O98" s="43">
        <f>41.67</f>
        <v>41.67</v>
      </c>
      <c r="P98" s="43">
        <f t="shared" si="61"/>
        <v>-1.6700000000000017</v>
      </c>
      <c r="Q98" s="44">
        <f t="shared" si="62"/>
        <v>0.95992320614350846</v>
      </c>
      <c r="R98" s="43">
        <f>40</f>
        <v>40</v>
      </c>
      <c r="S98" s="43">
        <f>41.67</f>
        <v>41.67</v>
      </c>
      <c r="T98" s="43">
        <f t="shared" si="63"/>
        <v>-1.6700000000000017</v>
      </c>
      <c r="U98" s="44">
        <f t="shared" si="64"/>
        <v>0.95992320614350846</v>
      </c>
      <c r="V98" s="43">
        <f>40</f>
        <v>40</v>
      </c>
      <c r="W98" s="43">
        <f>41.67</f>
        <v>41.67</v>
      </c>
      <c r="X98" s="43">
        <f t="shared" si="65"/>
        <v>-1.6700000000000017</v>
      </c>
      <c r="Y98" s="44">
        <f t="shared" si="66"/>
        <v>0.95992320614350846</v>
      </c>
      <c r="Z98" s="43">
        <f>40</f>
        <v>40</v>
      </c>
      <c r="AA98" s="43">
        <f>41.67</f>
        <v>41.67</v>
      </c>
      <c r="AB98" s="43">
        <f t="shared" si="67"/>
        <v>-1.6700000000000017</v>
      </c>
      <c r="AC98" s="44">
        <f t="shared" si="68"/>
        <v>0.95992320614350846</v>
      </c>
      <c r="AD98" s="43">
        <f>40</f>
        <v>40</v>
      </c>
      <c r="AE98" s="43">
        <f>41.67</f>
        <v>41.67</v>
      </c>
      <c r="AF98" s="43">
        <f t="shared" si="69"/>
        <v>-1.6700000000000017</v>
      </c>
      <c r="AG98" s="44">
        <f t="shared" si="70"/>
        <v>0.95992320614350846</v>
      </c>
      <c r="AH98" s="43">
        <f>40</f>
        <v>40</v>
      </c>
      <c r="AI98" s="43">
        <f>41.67</f>
        <v>41.67</v>
      </c>
      <c r="AJ98" s="43">
        <f t="shared" si="71"/>
        <v>-1.6700000000000017</v>
      </c>
      <c r="AK98" s="44">
        <f t="shared" si="72"/>
        <v>0.95992320614350846</v>
      </c>
      <c r="AL98" s="42"/>
      <c r="AM98" s="43">
        <f>41.67</f>
        <v>41.67</v>
      </c>
      <c r="AN98" s="43">
        <f t="shared" si="73"/>
        <v>-41.67</v>
      </c>
      <c r="AO98" s="44">
        <f t="shared" si="74"/>
        <v>0</v>
      </c>
      <c r="AP98" s="42"/>
      <c r="AQ98" s="43">
        <f>41.67</f>
        <v>41.67</v>
      </c>
      <c r="AR98" s="43">
        <f t="shared" si="75"/>
        <v>-41.67</v>
      </c>
      <c r="AS98" s="44">
        <f t="shared" si="76"/>
        <v>0</v>
      </c>
      <c r="AT98" s="42"/>
      <c r="AU98" s="43">
        <f>41.63</f>
        <v>41.63</v>
      </c>
      <c r="AV98" s="43">
        <f t="shared" si="77"/>
        <v>-41.63</v>
      </c>
      <c r="AW98" s="44">
        <f t="shared" si="78"/>
        <v>0</v>
      </c>
      <c r="AX98" s="43">
        <f t="shared" si="79"/>
        <v>360</v>
      </c>
      <c r="AY98" s="43">
        <f t="shared" si="79"/>
        <v>500.00000000000011</v>
      </c>
      <c r="AZ98" s="43">
        <f t="shared" si="80"/>
        <v>-140.00000000000011</v>
      </c>
      <c r="BA98" s="44">
        <f t="shared" si="81"/>
        <v>0.71999999999999986</v>
      </c>
    </row>
    <row r="99" spans="1:53" x14ac:dyDescent="0.3">
      <c r="A99" s="41" t="s">
        <v>206</v>
      </c>
      <c r="B99" s="43">
        <f>116.62</f>
        <v>116.62</v>
      </c>
      <c r="C99" s="43">
        <f>166.67</f>
        <v>166.67</v>
      </c>
      <c r="D99" s="43">
        <f t="shared" si="55"/>
        <v>-50.049999999999983</v>
      </c>
      <c r="E99" s="44">
        <f t="shared" si="56"/>
        <v>0.69970600587988252</v>
      </c>
      <c r="F99" s="43">
        <f>122.13</f>
        <v>122.13</v>
      </c>
      <c r="G99" s="43">
        <f>166.67</f>
        <v>166.67</v>
      </c>
      <c r="H99" s="43">
        <f t="shared" si="57"/>
        <v>-44.539999999999992</v>
      </c>
      <c r="I99" s="44">
        <f t="shared" si="58"/>
        <v>0.73276534469310617</v>
      </c>
      <c r="J99" s="43">
        <f>118.53</f>
        <v>118.53</v>
      </c>
      <c r="K99" s="43">
        <f>166.67</f>
        <v>166.67</v>
      </c>
      <c r="L99" s="43">
        <f t="shared" si="59"/>
        <v>-48.139999999999986</v>
      </c>
      <c r="M99" s="44">
        <f t="shared" si="60"/>
        <v>0.71116577668446634</v>
      </c>
      <c r="N99" s="43">
        <f>105.01</f>
        <v>105.01</v>
      </c>
      <c r="O99" s="43">
        <f>166.67</f>
        <v>166.67</v>
      </c>
      <c r="P99" s="43">
        <f t="shared" si="61"/>
        <v>-61.659999999999982</v>
      </c>
      <c r="Q99" s="44">
        <f t="shared" si="62"/>
        <v>0.63004739905201901</v>
      </c>
      <c r="R99" s="43">
        <f>155.41</f>
        <v>155.41</v>
      </c>
      <c r="S99" s="43">
        <f>166.67</f>
        <v>166.67</v>
      </c>
      <c r="T99" s="43">
        <f t="shared" si="63"/>
        <v>-11.259999999999991</v>
      </c>
      <c r="U99" s="44">
        <f t="shared" si="64"/>
        <v>0.93244135117297655</v>
      </c>
      <c r="V99" s="43">
        <f>177.01</f>
        <v>177.01</v>
      </c>
      <c r="W99" s="43">
        <f>166.67</f>
        <v>166.67</v>
      </c>
      <c r="X99" s="43">
        <f t="shared" si="65"/>
        <v>10.340000000000003</v>
      </c>
      <c r="Y99" s="44">
        <f t="shared" si="66"/>
        <v>1.0620387592248155</v>
      </c>
      <c r="Z99" s="43">
        <f>169.81</f>
        <v>169.81</v>
      </c>
      <c r="AA99" s="43">
        <f>166.67</f>
        <v>166.67</v>
      </c>
      <c r="AB99" s="43">
        <f t="shared" si="67"/>
        <v>3.1400000000000148</v>
      </c>
      <c r="AC99" s="44">
        <f t="shared" si="68"/>
        <v>1.0188396232075358</v>
      </c>
      <c r="AD99" s="43">
        <f>173.41</f>
        <v>173.41</v>
      </c>
      <c r="AE99" s="43">
        <f>166.67</f>
        <v>166.67</v>
      </c>
      <c r="AF99" s="43">
        <f t="shared" si="69"/>
        <v>6.7400000000000091</v>
      </c>
      <c r="AG99" s="44">
        <f t="shared" si="70"/>
        <v>1.0404391912161757</v>
      </c>
      <c r="AH99" s="43">
        <f>162.61</f>
        <v>162.61000000000001</v>
      </c>
      <c r="AI99" s="43">
        <f>166.67</f>
        <v>166.67</v>
      </c>
      <c r="AJ99" s="43">
        <f t="shared" si="71"/>
        <v>-4.0599999999999739</v>
      </c>
      <c r="AK99" s="44">
        <f t="shared" si="72"/>
        <v>0.97564048719025631</v>
      </c>
      <c r="AL99" s="42"/>
      <c r="AM99" s="43">
        <f>166.67</f>
        <v>166.67</v>
      </c>
      <c r="AN99" s="43">
        <f t="shared" si="73"/>
        <v>-166.67</v>
      </c>
      <c r="AO99" s="44">
        <f t="shared" si="74"/>
        <v>0</v>
      </c>
      <c r="AP99" s="42"/>
      <c r="AQ99" s="43">
        <f>166.67</f>
        <v>166.67</v>
      </c>
      <c r="AR99" s="43">
        <f t="shared" si="75"/>
        <v>-166.67</v>
      </c>
      <c r="AS99" s="44">
        <f t="shared" si="76"/>
        <v>0</v>
      </c>
      <c r="AT99" s="42"/>
      <c r="AU99" s="43">
        <f>166.63</f>
        <v>166.63</v>
      </c>
      <c r="AV99" s="43">
        <f t="shared" si="77"/>
        <v>-166.63</v>
      </c>
      <c r="AW99" s="44">
        <f t="shared" si="78"/>
        <v>0</v>
      </c>
      <c r="AX99" s="43">
        <f t="shared" si="79"/>
        <v>1300.54</v>
      </c>
      <c r="AY99" s="43">
        <f t="shared" si="79"/>
        <v>2000</v>
      </c>
      <c r="AZ99" s="43">
        <f t="shared" si="80"/>
        <v>-699.46</v>
      </c>
      <c r="BA99" s="44">
        <f t="shared" si="81"/>
        <v>0.65027000000000001</v>
      </c>
    </row>
    <row r="100" spans="1:53" x14ac:dyDescent="0.3">
      <c r="A100" s="41" t="s">
        <v>207</v>
      </c>
      <c r="B100" s="45">
        <f>((((B95)+(B96))+(B97))+(B98))+(B99)</f>
        <v>1783.2599999999998</v>
      </c>
      <c r="C100" s="45">
        <f>((((C95)+(C96))+(C97))+(C98))+(C99)</f>
        <v>1791.67</v>
      </c>
      <c r="D100" s="45">
        <f t="shared" si="55"/>
        <v>-8.4100000000003092</v>
      </c>
      <c r="E100" s="46">
        <f t="shared" si="56"/>
        <v>0.99530605524454818</v>
      </c>
      <c r="F100" s="45">
        <f>((((F95)+(F96))+(F97))+(F98))+(F99)</f>
        <v>2257.5</v>
      </c>
      <c r="G100" s="45">
        <f>((((G95)+(G96))+(G97))+(G98))+(G99)</f>
        <v>1791.67</v>
      </c>
      <c r="H100" s="45">
        <f t="shared" si="57"/>
        <v>465.82999999999993</v>
      </c>
      <c r="I100" s="46">
        <f t="shared" si="58"/>
        <v>1.2599976558183148</v>
      </c>
      <c r="J100" s="45">
        <f>((((J95)+(J96))+(J97))+(J98))+(J99)</f>
        <v>1260.4100000000001</v>
      </c>
      <c r="K100" s="45">
        <f>((((K95)+(K96))+(K97))+(K98))+(K99)</f>
        <v>1791.67</v>
      </c>
      <c r="L100" s="45">
        <f t="shared" si="59"/>
        <v>-531.26</v>
      </c>
      <c r="M100" s="46">
        <f t="shared" si="60"/>
        <v>0.70348334235657239</v>
      </c>
      <c r="N100" s="45">
        <f>((((N95)+(N96))+(N97))+(N98))+(N99)</f>
        <v>753.1</v>
      </c>
      <c r="O100" s="45">
        <f>((((O95)+(O96))+(O97))+(O98))+(O99)</f>
        <v>1791.67</v>
      </c>
      <c r="P100" s="45">
        <f t="shared" si="61"/>
        <v>-1038.5700000000002</v>
      </c>
      <c r="Q100" s="46">
        <f t="shared" si="62"/>
        <v>0.42033410170399682</v>
      </c>
      <c r="R100" s="45">
        <f>((((R95)+(R96))+(R97))+(R98))+(R99)</f>
        <v>1328.19</v>
      </c>
      <c r="S100" s="45">
        <f>((((S95)+(S96))+(S97))+(S98))+(S99)</f>
        <v>1791.67</v>
      </c>
      <c r="T100" s="45">
        <f t="shared" si="63"/>
        <v>-463.48</v>
      </c>
      <c r="U100" s="46">
        <f t="shared" si="64"/>
        <v>0.74131396964842855</v>
      </c>
      <c r="V100" s="45">
        <f>((((V95)+(V96))+(V97))+(V98))+(V99)</f>
        <v>1597.1</v>
      </c>
      <c r="W100" s="45">
        <f>((((W95)+(W96))+(W97))+(W98))+(W99)</f>
        <v>1791.67</v>
      </c>
      <c r="X100" s="45">
        <f t="shared" si="65"/>
        <v>-194.57000000000016</v>
      </c>
      <c r="Y100" s="46">
        <f t="shared" si="66"/>
        <v>0.89140299273861812</v>
      </c>
      <c r="Z100" s="45">
        <f>((((Z95)+(Z96))+(Z97))+(Z98))+(Z99)</f>
        <v>209.81</v>
      </c>
      <c r="AA100" s="45">
        <f>((((AA95)+(AA96))+(AA97))+(AA98))+(AA99)</f>
        <v>1791.67</v>
      </c>
      <c r="AB100" s="45">
        <f t="shared" si="67"/>
        <v>-1581.8600000000001</v>
      </c>
      <c r="AC100" s="46">
        <f t="shared" si="68"/>
        <v>0.11710303794783637</v>
      </c>
      <c r="AD100" s="45">
        <f>((((AD95)+(AD96))+(AD97))+(AD98))+(AD99)</f>
        <v>3121.52</v>
      </c>
      <c r="AE100" s="45">
        <f>((((AE95)+(AE96))+(AE97))+(AE98))+(AE99)</f>
        <v>1791.67</v>
      </c>
      <c r="AF100" s="45">
        <f t="shared" si="69"/>
        <v>1329.85</v>
      </c>
      <c r="AG100" s="46">
        <f t="shared" si="70"/>
        <v>1.7422404795525961</v>
      </c>
      <c r="AH100" s="45">
        <f>((((AH95)+(AH96))+(AH97))+(AH98))+(AH99)</f>
        <v>2532.65</v>
      </c>
      <c r="AI100" s="45">
        <f>((((AI95)+(AI96))+(AI97))+(AI98))+(AI99)</f>
        <v>1791.67</v>
      </c>
      <c r="AJ100" s="45">
        <f t="shared" si="71"/>
        <v>740.98</v>
      </c>
      <c r="AK100" s="46">
        <f t="shared" si="72"/>
        <v>1.4135694631265803</v>
      </c>
      <c r="AL100" s="45">
        <f>((((AL95)+(AL96))+(AL97))+(AL98))+(AL99)</f>
        <v>0</v>
      </c>
      <c r="AM100" s="45">
        <f>((((AM95)+(AM96))+(AM97))+(AM98))+(AM99)</f>
        <v>1791.67</v>
      </c>
      <c r="AN100" s="45">
        <f t="shared" si="73"/>
        <v>-1791.67</v>
      </c>
      <c r="AO100" s="46">
        <f t="shared" si="74"/>
        <v>0</v>
      </c>
      <c r="AP100" s="45">
        <f>((((AP95)+(AP96))+(AP97))+(AP98))+(AP99)</f>
        <v>0</v>
      </c>
      <c r="AQ100" s="45">
        <f>((((AQ95)+(AQ96))+(AQ97))+(AQ98))+(AQ99)</f>
        <v>1791.67</v>
      </c>
      <c r="AR100" s="45">
        <f t="shared" si="75"/>
        <v>-1791.67</v>
      </c>
      <c r="AS100" s="46">
        <f t="shared" si="76"/>
        <v>0</v>
      </c>
      <c r="AT100" s="45">
        <f>((((AT95)+(AT96))+(AT97))+(AT98))+(AT99)</f>
        <v>0</v>
      </c>
      <c r="AU100" s="45">
        <f>((((AU95)+(AU96))+(AU97))+(AU98))+(AU99)</f>
        <v>1791.63</v>
      </c>
      <c r="AV100" s="45">
        <f t="shared" si="77"/>
        <v>-1791.63</v>
      </c>
      <c r="AW100" s="46">
        <f t="shared" si="78"/>
        <v>0</v>
      </c>
      <c r="AX100" s="45">
        <f t="shared" si="79"/>
        <v>14843.54</v>
      </c>
      <c r="AY100" s="45">
        <f t="shared" si="79"/>
        <v>21500.000000000004</v>
      </c>
      <c r="AZ100" s="45">
        <f t="shared" si="80"/>
        <v>-6656.4600000000028</v>
      </c>
      <c r="BA100" s="46">
        <f t="shared" si="81"/>
        <v>0.69039720930232551</v>
      </c>
    </row>
    <row r="101" spans="1:53" x14ac:dyDescent="0.3">
      <c r="A101" s="41" t="s">
        <v>208</v>
      </c>
      <c r="B101" s="45">
        <f>((((((((((((((((((((((B29)+(B33))+(B34))+(B35))+(B36))+(B37))+(B55))+(B56))+(B57))+(B60))+(B61))+(B62))+(B63))+(B72))+(B73))+(B74))+(B75))+(B76))+(B80))+(B86))+(B87))+(B94))+(B100)</f>
        <v>64052.959999999999</v>
      </c>
      <c r="C101" s="45">
        <f>((((((((((((((((((((((C29)+(C33))+(C34))+(C35))+(C36))+(C37))+(C55))+(C56))+(C57))+(C60))+(C61))+(C62))+(C63))+(C72))+(C73))+(C74))+(C75))+(C76))+(C80))+(C86))+(C87))+(C94))+(C100)</f>
        <v>80928.349999999991</v>
      </c>
      <c r="D101" s="45">
        <f t="shared" si="55"/>
        <v>-16875.389999999992</v>
      </c>
      <c r="E101" s="46">
        <f t="shared" si="56"/>
        <v>0.79147739945272588</v>
      </c>
      <c r="F101" s="45">
        <f>((((((((((((((((((((((F29)+(F33))+(F34))+(F35))+(F36))+(F37))+(F55))+(F56))+(F57))+(F60))+(F61))+(F62))+(F63))+(F72))+(F73))+(F74))+(F75))+(F76))+(F80))+(F86))+(F87))+(F94))+(F100)</f>
        <v>64449.850000000006</v>
      </c>
      <c r="G101" s="45">
        <f>((((((((((((((((((((((G29)+(G33))+(G34))+(G35))+(G36))+(G37))+(G55))+(G56))+(G57))+(G60))+(G61))+(G62))+(G63))+(G72))+(G73))+(G74))+(G75))+(G76))+(G80))+(G86))+(G87))+(G94))+(G100)</f>
        <v>80928.349999999991</v>
      </c>
      <c r="H101" s="45">
        <f t="shared" si="57"/>
        <v>-16478.499999999985</v>
      </c>
      <c r="I101" s="46">
        <f t="shared" si="58"/>
        <v>0.79638161410679953</v>
      </c>
      <c r="J101" s="45">
        <f>((((((((((((((((((((((J29)+(J33))+(J34))+(J35))+(J36))+(J37))+(J55))+(J56))+(J57))+(J60))+(J61))+(J62))+(J63))+(J72))+(J73))+(J74))+(J75))+(J76))+(J80))+(J86))+(J87))+(J94))+(J100)</f>
        <v>54219.010000000009</v>
      </c>
      <c r="K101" s="45">
        <f>((((((((((((((((((((((K29)+(K33))+(K34))+(K35))+(K36))+(K37))+(K55))+(K56))+(K57))+(K60))+(K61))+(K62))+(K63))+(K72))+(K73))+(K74))+(K75))+(K76))+(K80))+(K86))+(K87))+(K94))+(K100)</f>
        <v>80928.349999999991</v>
      </c>
      <c r="L101" s="45">
        <f t="shared" si="59"/>
        <v>-26709.339999999982</v>
      </c>
      <c r="M101" s="46">
        <f t="shared" si="60"/>
        <v>0.66996312169962713</v>
      </c>
      <c r="N101" s="45">
        <f>((((((((((((((((((((((N29)+(N33))+(N34))+(N35))+(N36))+(N37))+(N55))+(N56))+(N57))+(N60))+(N61))+(N62))+(N63))+(N72))+(N73))+(N74))+(N75))+(N76))+(N80))+(N86))+(N87))+(N94))+(N100)</f>
        <v>59840.57999999998</v>
      </c>
      <c r="O101" s="45">
        <f>((((((((((((((((((((((O29)+(O33))+(O34))+(O35))+(O36))+(O37))+(O55))+(O56))+(O57))+(O60))+(O61))+(O62))+(O63))+(O72))+(O73))+(O74))+(O75))+(O76))+(O80))+(O86))+(O87))+(O94))+(O100)</f>
        <v>80928.349999999991</v>
      </c>
      <c r="P101" s="45">
        <f t="shared" si="61"/>
        <v>-21087.770000000011</v>
      </c>
      <c r="Q101" s="46">
        <f t="shared" si="62"/>
        <v>0.73942666568637549</v>
      </c>
      <c r="R101" s="45">
        <f>((((((((((((((((((((((R29)+(R33))+(R34))+(R35))+(R36))+(R37))+(R55))+(R56))+(R57))+(R60))+(R61))+(R62))+(R63))+(R72))+(R73))+(R74))+(R75))+(R76))+(R80))+(R86))+(R87))+(R94))+(R100)</f>
        <v>60436.84</v>
      </c>
      <c r="S101" s="45">
        <f>((((((((((((((((((((((S29)+(S33))+(S34))+(S35))+(S36))+(S37))+(S55))+(S56))+(S57))+(S60))+(S61))+(S62))+(S63))+(S72))+(S73))+(S74))+(S75))+(S76))+(S80))+(S86))+(S87))+(S94))+(S100)</f>
        <v>80928.349999999991</v>
      </c>
      <c r="T101" s="45">
        <f t="shared" si="63"/>
        <v>-20491.509999999995</v>
      </c>
      <c r="U101" s="46">
        <f t="shared" si="64"/>
        <v>0.74679441753106302</v>
      </c>
      <c r="V101" s="45">
        <f>((((((((((((((((((((((V29)+(V33))+(V34))+(V35))+(V36))+(V37))+(V55))+(V56))+(V57))+(V60))+(V61))+(V62))+(V63))+(V72))+(V73))+(V74))+(V75))+(V76))+(V80))+(V86))+(V87))+(V94))+(V100)</f>
        <v>65173.700000000004</v>
      </c>
      <c r="W101" s="45">
        <f>((((((((((((((((((((((W29)+(W33))+(W34))+(W35))+(W36))+(W37))+(W55))+(W56))+(W57))+(W60))+(W61))+(W62))+(W63))+(W72))+(W73))+(W74))+(W75))+(W76))+(W80))+(W86))+(W87))+(W94))+(W100)</f>
        <v>80928.349999999991</v>
      </c>
      <c r="X101" s="45">
        <f t="shared" si="65"/>
        <v>-15754.649999999987</v>
      </c>
      <c r="Y101" s="46">
        <f t="shared" si="66"/>
        <v>0.80532594572853655</v>
      </c>
      <c r="Z101" s="45">
        <f>((((((((((((((((((((((Z29)+(Z33))+(Z34))+(Z35))+(Z36))+(Z37))+(Z55))+(Z56))+(Z57))+(Z60))+(Z61))+(Z62))+(Z63))+(Z72))+(Z73))+(Z74))+(Z75))+(Z76))+(Z80))+(Z86))+(Z87))+(Z94))+(Z100)</f>
        <v>63695.679999999993</v>
      </c>
      <c r="AA101" s="45">
        <f>((((((((((((((((((((((AA29)+(AA33))+(AA34))+(AA35))+(AA36))+(AA37))+(AA55))+(AA56))+(AA57))+(AA60))+(AA61))+(AA62))+(AA63))+(AA72))+(AA73))+(AA74))+(AA75))+(AA76))+(AA80))+(AA86))+(AA87))+(AA94))+(AA100)</f>
        <v>80928.349999999991</v>
      </c>
      <c r="AB101" s="45">
        <f t="shared" si="67"/>
        <v>-17232.669999999998</v>
      </c>
      <c r="AC101" s="46">
        <f t="shared" si="68"/>
        <v>0.78706263009192701</v>
      </c>
      <c r="AD101" s="45">
        <f>((((((((((((((((((((((AD29)+(AD33))+(AD34))+(AD35))+(AD36))+(AD37))+(AD55))+(AD56))+(AD57))+(AD60))+(AD61))+(AD62))+(AD63))+(AD72))+(AD73))+(AD74))+(AD75))+(AD76))+(AD80))+(AD86))+(AD87))+(AD94))+(AD100)</f>
        <v>57487.749999999993</v>
      </c>
      <c r="AE101" s="45">
        <f>((((((((((((((((((((((AE29)+(AE33))+(AE34))+(AE35))+(AE36))+(AE37))+(AE55))+(AE56))+(AE57))+(AE60))+(AE61))+(AE62))+(AE63))+(AE72))+(AE73))+(AE74))+(AE75))+(AE76))+(AE80))+(AE86))+(AE87))+(AE94))+(AE100)</f>
        <v>80928.349999999991</v>
      </c>
      <c r="AF101" s="45">
        <f t="shared" si="69"/>
        <v>-23440.6</v>
      </c>
      <c r="AG101" s="46">
        <f t="shared" si="70"/>
        <v>0.71035366469228645</v>
      </c>
      <c r="AH101" s="45">
        <f>((((((((((((((((((((((AH29)+(AH33))+(AH34))+(AH35))+(AH36))+(AH37))+(AH55))+(AH56))+(AH57))+(AH60))+(AH61))+(AH62))+(AH63))+(AH72))+(AH73))+(AH74))+(AH75))+(AH76))+(AH80))+(AH86))+(AH87))+(AH94))+(AH100)</f>
        <v>77852.069999999978</v>
      </c>
      <c r="AI101" s="45">
        <f>((((((((((((((((((((((AI29)+(AI33))+(AI34))+(AI35))+(AI36))+(AI37))+(AI55))+(AI56))+(AI57))+(AI60))+(AI61))+(AI62))+(AI63))+(AI72))+(AI73))+(AI74))+(AI75))+(AI76))+(AI80))+(AI86))+(AI87))+(AI94))+(AI100)</f>
        <v>80928.349999999991</v>
      </c>
      <c r="AJ101" s="45">
        <f t="shared" si="71"/>
        <v>-3076.2800000000134</v>
      </c>
      <c r="AK101" s="46">
        <f t="shared" si="72"/>
        <v>0.96198761002788247</v>
      </c>
      <c r="AL101" s="45">
        <f>((((((((((((((((((((((AL29)+(AL33))+(AL34))+(AL35))+(AL36))+(AL37))+(AL55))+(AL56))+(AL57))+(AL60))+(AL61))+(AL62))+(AL63))+(AL72))+(AL73))+(AL74))+(AL75))+(AL76))+(AL80))+(AL86))+(AL87))+(AL94))+(AL100)</f>
        <v>16407.72</v>
      </c>
      <c r="AM101" s="45">
        <f>((((((((((((((((((((((AM29)+(AM33))+(AM34))+(AM35))+(AM36))+(AM37))+(AM55))+(AM56))+(AM57))+(AM60))+(AM61))+(AM62))+(AM63))+(AM72))+(AM73))+(AM74))+(AM75))+(AM76))+(AM80))+(AM86))+(AM87))+(AM94))+(AM100)</f>
        <v>80928.349999999991</v>
      </c>
      <c r="AN101" s="45">
        <f t="shared" si="73"/>
        <v>-64520.62999999999</v>
      </c>
      <c r="AO101" s="46">
        <f t="shared" si="74"/>
        <v>0.20274378508890892</v>
      </c>
      <c r="AP101" s="45">
        <f>((((((((((((((((((((((AP29)+(AP33))+(AP34))+(AP35))+(AP36))+(AP37))+(AP55))+(AP56))+(AP57))+(AP60))+(AP61))+(AP62))+(AP63))+(AP72))+(AP73))+(AP74))+(AP75))+(AP76))+(AP80))+(AP86))+(AP87))+(AP94))+(AP100)</f>
        <v>0</v>
      </c>
      <c r="AQ101" s="45">
        <f>((((((((((((((((((((((AQ29)+(AQ33))+(AQ34))+(AQ35))+(AQ36))+(AQ37))+(AQ55))+(AQ56))+(AQ57))+(AQ60))+(AQ61))+(AQ62))+(AQ63))+(AQ72))+(AQ73))+(AQ74))+(AQ75))+(AQ76))+(AQ80))+(AQ86))+(AQ87))+(AQ94))+(AQ100)</f>
        <v>80928.349999999991</v>
      </c>
      <c r="AR101" s="45">
        <f t="shared" si="75"/>
        <v>-80928.349999999991</v>
      </c>
      <c r="AS101" s="46">
        <f t="shared" si="76"/>
        <v>0</v>
      </c>
      <c r="AT101" s="45">
        <f>((((((((((((((((((((((AT29)+(AT33))+(AT34))+(AT35))+(AT36))+(AT37))+(AT55))+(AT56))+(AT57))+(AT60))+(AT61))+(AT62))+(AT63))+(AT72))+(AT73))+(AT74))+(AT75))+(AT76))+(AT80))+(AT86))+(AT87))+(AT94))+(AT100)</f>
        <v>0</v>
      </c>
      <c r="AU101" s="45">
        <f>((((((((((((((((((((((AU29)+(AU33))+(AU34))+(AU35))+(AU36))+(AU37))+(AU55))+(AU56))+(AU57))+(AU60))+(AU61))+(AU62))+(AU63))+(AU72))+(AU73))+(AU74))+(AU75))+(AU76))+(AU80))+(AU86))+(AU87))+(AU94))+(AU100)</f>
        <v>80928.150000000009</v>
      </c>
      <c r="AV101" s="45">
        <f t="shared" si="77"/>
        <v>-80928.150000000009</v>
      </c>
      <c r="AW101" s="46">
        <f t="shared" si="78"/>
        <v>0</v>
      </c>
      <c r="AX101" s="45">
        <f t="shared" si="79"/>
        <v>583616.15999999992</v>
      </c>
      <c r="AY101" s="45">
        <f t="shared" si="79"/>
        <v>971139.99999999988</v>
      </c>
      <c r="AZ101" s="45">
        <f t="shared" si="80"/>
        <v>-387523.83999999997</v>
      </c>
      <c r="BA101" s="46">
        <f t="shared" si="81"/>
        <v>0.60095986160594761</v>
      </c>
    </row>
    <row r="102" spans="1:53" x14ac:dyDescent="0.3">
      <c r="A102" s="41" t="s">
        <v>209</v>
      </c>
      <c r="B102" s="45">
        <f>(B22)-(B101)</f>
        <v>-35433.229999999996</v>
      </c>
      <c r="C102" s="45">
        <f>(C22)-(C101)</f>
        <v>2137.9100000000035</v>
      </c>
      <c r="D102" s="45">
        <f t="shared" si="55"/>
        <v>-37571.14</v>
      </c>
      <c r="E102" s="46">
        <f t="shared" si="56"/>
        <v>-16.573770645162771</v>
      </c>
      <c r="F102" s="45">
        <f>(F22)-(F101)</f>
        <v>278088.61</v>
      </c>
      <c r="G102" s="45">
        <f>(G22)-(G101)</f>
        <v>2137.9100000000035</v>
      </c>
      <c r="H102" s="45">
        <f t="shared" si="57"/>
        <v>275950.69999999995</v>
      </c>
      <c r="I102" s="46">
        <f t="shared" si="58"/>
        <v>130.0749844474274</v>
      </c>
      <c r="J102" s="45">
        <f>(J22)-(J101)</f>
        <v>12495.029999999999</v>
      </c>
      <c r="K102" s="45">
        <f>(K22)-(K101)</f>
        <v>2137.9100000000035</v>
      </c>
      <c r="L102" s="45">
        <f t="shared" si="59"/>
        <v>10357.119999999995</v>
      </c>
      <c r="M102" s="46">
        <f t="shared" si="60"/>
        <v>5.8445070185367856</v>
      </c>
      <c r="N102" s="45">
        <f>(N22)-(N101)</f>
        <v>132335.76</v>
      </c>
      <c r="O102" s="45">
        <f>(O22)-(O101)</f>
        <v>2137.9100000000035</v>
      </c>
      <c r="P102" s="45">
        <f t="shared" si="61"/>
        <v>130197.85</v>
      </c>
      <c r="Q102" s="46">
        <f t="shared" si="62"/>
        <v>61.899593528258812</v>
      </c>
      <c r="R102" s="45">
        <f>(R22)-(R101)</f>
        <v>-8321.14</v>
      </c>
      <c r="S102" s="45">
        <f>(S22)-(S101)</f>
        <v>2137.9100000000035</v>
      </c>
      <c r="T102" s="45">
        <f t="shared" si="63"/>
        <v>-10459.050000000003</v>
      </c>
      <c r="U102" s="46">
        <f t="shared" si="64"/>
        <v>-3.8921844231048013</v>
      </c>
      <c r="V102" s="45">
        <f>(V22)-(V101)</f>
        <v>212320.32000000007</v>
      </c>
      <c r="W102" s="45">
        <f>(W22)-(W101)</f>
        <v>2137.9100000000035</v>
      </c>
      <c r="X102" s="45">
        <f t="shared" si="65"/>
        <v>210182.41000000006</v>
      </c>
      <c r="Y102" s="46">
        <f t="shared" si="66"/>
        <v>99.312094522220164</v>
      </c>
      <c r="Z102" s="45">
        <f>(Z22)-(Z101)</f>
        <v>-44066.889999999992</v>
      </c>
      <c r="AA102" s="45">
        <f>(AA22)-(AA101)</f>
        <v>2137.9100000000035</v>
      </c>
      <c r="AB102" s="45">
        <f t="shared" si="67"/>
        <v>-46204.799999999996</v>
      </c>
      <c r="AC102" s="46">
        <f t="shared" si="68"/>
        <v>-20.612135216169026</v>
      </c>
      <c r="AD102" s="45">
        <f>(AD22)-(AD101)</f>
        <v>-41951.899999999994</v>
      </c>
      <c r="AE102" s="45">
        <f>(AE22)-(AE101)</f>
        <v>2137.9100000000035</v>
      </c>
      <c r="AF102" s="45">
        <f t="shared" si="69"/>
        <v>-44089.81</v>
      </c>
      <c r="AG102" s="46">
        <f t="shared" si="70"/>
        <v>-19.622855966808672</v>
      </c>
      <c r="AH102" s="45">
        <f>(AH22)-(AH101)</f>
        <v>-63853.769999999975</v>
      </c>
      <c r="AI102" s="45">
        <f>(AI22)-(AI101)</f>
        <v>2137.9100000000035</v>
      </c>
      <c r="AJ102" s="45">
        <f t="shared" si="71"/>
        <v>-65991.679999999978</v>
      </c>
      <c r="AK102" s="46">
        <f t="shared" si="72"/>
        <v>-29.867379824220791</v>
      </c>
      <c r="AL102" s="45">
        <f>(AL22)-(AL101)</f>
        <v>-16407.72</v>
      </c>
      <c r="AM102" s="45">
        <f>(AM22)-(AM101)</f>
        <v>2137.9100000000035</v>
      </c>
      <c r="AN102" s="45">
        <f t="shared" si="73"/>
        <v>-18545.630000000005</v>
      </c>
      <c r="AO102" s="46">
        <f t="shared" si="74"/>
        <v>-7.6746542183721367</v>
      </c>
      <c r="AP102" s="45">
        <f>(AP22)-(AP101)</f>
        <v>0</v>
      </c>
      <c r="AQ102" s="45">
        <f>(AQ22)-(AQ101)</f>
        <v>2137.9100000000035</v>
      </c>
      <c r="AR102" s="45">
        <f t="shared" si="75"/>
        <v>-2137.9100000000035</v>
      </c>
      <c r="AS102" s="46">
        <f t="shared" si="76"/>
        <v>0</v>
      </c>
      <c r="AT102" s="45">
        <f>(AT22)-(AT101)</f>
        <v>0</v>
      </c>
      <c r="AU102" s="45">
        <f>(AU22)-(AU101)</f>
        <v>2137.9899999999907</v>
      </c>
      <c r="AV102" s="45">
        <f t="shared" si="77"/>
        <v>-2137.9899999999907</v>
      </c>
      <c r="AW102" s="46">
        <f t="shared" si="78"/>
        <v>0</v>
      </c>
      <c r="AX102" s="45">
        <f t="shared" si="79"/>
        <v>425205.07000000007</v>
      </c>
      <c r="AY102" s="45">
        <f t="shared" si="79"/>
        <v>25655.000000000029</v>
      </c>
      <c r="AZ102" s="45">
        <f t="shared" si="80"/>
        <v>399550.07000000007</v>
      </c>
      <c r="BA102" s="46">
        <f t="shared" si="81"/>
        <v>16.573964919119064</v>
      </c>
    </row>
    <row r="103" spans="1:53" x14ac:dyDescent="0.3">
      <c r="A103" s="41" t="s">
        <v>93</v>
      </c>
      <c r="B103" s="45">
        <f>(B102)+(0)</f>
        <v>-35433.229999999996</v>
      </c>
      <c r="C103" s="45">
        <f>(C102)+(0)</f>
        <v>2137.9100000000035</v>
      </c>
      <c r="D103" s="45">
        <f t="shared" si="55"/>
        <v>-37571.14</v>
      </c>
      <c r="E103" s="46">
        <f t="shared" si="56"/>
        <v>-16.573770645162771</v>
      </c>
      <c r="F103" s="45">
        <f>(F102)+(0)</f>
        <v>278088.61</v>
      </c>
      <c r="G103" s="45">
        <f>(G102)+(0)</f>
        <v>2137.9100000000035</v>
      </c>
      <c r="H103" s="45">
        <f t="shared" si="57"/>
        <v>275950.69999999995</v>
      </c>
      <c r="I103" s="46">
        <f t="shared" si="58"/>
        <v>130.0749844474274</v>
      </c>
      <c r="J103" s="45">
        <f>(J102)+(0)</f>
        <v>12495.029999999999</v>
      </c>
      <c r="K103" s="45">
        <f>(K102)+(0)</f>
        <v>2137.9100000000035</v>
      </c>
      <c r="L103" s="45">
        <f t="shared" si="59"/>
        <v>10357.119999999995</v>
      </c>
      <c r="M103" s="46">
        <f t="shared" si="60"/>
        <v>5.8445070185367856</v>
      </c>
      <c r="N103" s="45">
        <f>(N102)+(0)</f>
        <v>132335.76</v>
      </c>
      <c r="O103" s="45">
        <f>(O102)+(0)</f>
        <v>2137.9100000000035</v>
      </c>
      <c r="P103" s="45">
        <f t="shared" si="61"/>
        <v>130197.85</v>
      </c>
      <c r="Q103" s="46">
        <f t="shared" si="62"/>
        <v>61.899593528258812</v>
      </c>
      <c r="R103" s="45">
        <f>(R102)+(0)</f>
        <v>-8321.14</v>
      </c>
      <c r="S103" s="45">
        <f>(S102)+(0)</f>
        <v>2137.9100000000035</v>
      </c>
      <c r="T103" s="45">
        <f t="shared" si="63"/>
        <v>-10459.050000000003</v>
      </c>
      <c r="U103" s="46">
        <f t="shared" si="64"/>
        <v>-3.8921844231048013</v>
      </c>
      <c r="V103" s="45">
        <f>(V102)+(0)</f>
        <v>212320.32000000007</v>
      </c>
      <c r="W103" s="45">
        <f>(W102)+(0)</f>
        <v>2137.9100000000035</v>
      </c>
      <c r="X103" s="45">
        <f t="shared" si="65"/>
        <v>210182.41000000006</v>
      </c>
      <c r="Y103" s="46">
        <f t="shared" si="66"/>
        <v>99.312094522220164</v>
      </c>
      <c r="Z103" s="45">
        <f>(Z102)+(0)</f>
        <v>-44066.889999999992</v>
      </c>
      <c r="AA103" s="45">
        <f>(AA102)+(0)</f>
        <v>2137.9100000000035</v>
      </c>
      <c r="AB103" s="45">
        <f t="shared" si="67"/>
        <v>-46204.799999999996</v>
      </c>
      <c r="AC103" s="46">
        <f t="shared" si="68"/>
        <v>-20.612135216169026</v>
      </c>
      <c r="AD103" s="45">
        <f>(AD102)+(0)</f>
        <v>-41951.899999999994</v>
      </c>
      <c r="AE103" s="45">
        <f>(AE102)+(0)</f>
        <v>2137.9100000000035</v>
      </c>
      <c r="AF103" s="45">
        <f t="shared" si="69"/>
        <v>-44089.81</v>
      </c>
      <c r="AG103" s="46">
        <f t="shared" si="70"/>
        <v>-19.622855966808672</v>
      </c>
      <c r="AH103" s="45">
        <f>(AH102)+(0)</f>
        <v>-63853.769999999975</v>
      </c>
      <c r="AI103" s="45">
        <f>(AI102)+(0)</f>
        <v>2137.9100000000035</v>
      </c>
      <c r="AJ103" s="45">
        <f t="shared" si="71"/>
        <v>-65991.679999999978</v>
      </c>
      <c r="AK103" s="46">
        <f t="shared" si="72"/>
        <v>-29.867379824220791</v>
      </c>
      <c r="AL103" s="45">
        <f>(AL102)+(0)</f>
        <v>-16407.72</v>
      </c>
      <c r="AM103" s="45">
        <f>(AM102)+(0)</f>
        <v>2137.9100000000035</v>
      </c>
      <c r="AN103" s="45">
        <f t="shared" si="73"/>
        <v>-18545.630000000005</v>
      </c>
      <c r="AO103" s="46">
        <f t="shared" si="74"/>
        <v>-7.6746542183721367</v>
      </c>
      <c r="AP103" s="45">
        <f>(AP102)+(0)</f>
        <v>0</v>
      </c>
      <c r="AQ103" s="45">
        <f>(AQ102)+(0)</f>
        <v>2137.9100000000035</v>
      </c>
      <c r="AR103" s="45">
        <f t="shared" si="75"/>
        <v>-2137.9100000000035</v>
      </c>
      <c r="AS103" s="46">
        <f t="shared" si="76"/>
        <v>0</v>
      </c>
      <c r="AT103" s="45">
        <f>(AT102)+(0)</f>
        <v>0</v>
      </c>
      <c r="AU103" s="45">
        <f>(AU102)+(0)</f>
        <v>2137.9899999999907</v>
      </c>
      <c r="AV103" s="45">
        <f t="shared" si="77"/>
        <v>-2137.9899999999907</v>
      </c>
      <c r="AW103" s="46">
        <f t="shared" si="78"/>
        <v>0</v>
      </c>
      <c r="AX103" s="45">
        <f t="shared" si="79"/>
        <v>425205.07000000007</v>
      </c>
      <c r="AY103" s="45">
        <f t="shared" si="79"/>
        <v>25655.000000000029</v>
      </c>
      <c r="AZ103" s="45">
        <f t="shared" si="80"/>
        <v>399550.07000000007</v>
      </c>
      <c r="BA103" s="46">
        <f t="shared" si="81"/>
        <v>16.573964919119064</v>
      </c>
    </row>
    <row r="104" spans="1:53" x14ac:dyDescent="0.3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</row>
    <row r="107" spans="1:53" x14ac:dyDescent="0.3">
      <c r="A107" s="47" t="s">
        <v>210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</row>
  </sheetData>
  <mergeCells count="17">
    <mergeCell ref="A107:BA107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359E-FACA-4700-BB43-3673DE28C4E1}">
  <dimension ref="A1:B47"/>
  <sheetViews>
    <sheetView workbookViewId="0">
      <selection sqref="A1:B1"/>
    </sheetView>
  </sheetViews>
  <sheetFormatPr defaultColWidth="12.44140625" defaultRowHeight="15.6" x14ac:dyDescent="0.3"/>
  <cols>
    <col min="1" max="1" width="34.109375" style="18" customWidth="1"/>
    <col min="2" max="2" width="8.33203125" style="18" customWidth="1"/>
    <col min="3" max="16384" width="12.44140625" style="13"/>
  </cols>
  <sheetData>
    <row r="1" spans="1:2" x14ac:dyDescent="0.3">
      <c r="A1" s="11" t="s">
        <v>211</v>
      </c>
      <c r="B1" s="12"/>
    </row>
    <row r="2" spans="1:2" x14ac:dyDescent="0.3">
      <c r="A2" s="14" t="s">
        <v>32</v>
      </c>
      <c r="B2" s="12"/>
    </row>
    <row r="3" spans="1:2" x14ac:dyDescent="0.3">
      <c r="A3" s="15" t="s">
        <v>212</v>
      </c>
      <c r="B3" s="12"/>
    </row>
    <row r="5" spans="1:2" x14ac:dyDescent="0.3">
      <c r="A5" s="16" t="s">
        <v>213</v>
      </c>
      <c r="B5" s="16" t="s">
        <v>35</v>
      </c>
    </row>
    <row r="6" spans="1:2" x14ac:dyDescent="0.3">
      <c r="A6" s="17" t="s">
        <v>214</v>
      </c>
      <c r="B6" s="22">
        <v>33945.07</v>
      </c>
    </row>
    <row r="7" spans="1:2" x14ac:dyDescent="0.3">
      <c r="A7" s="17" t="s">
        <v>215</v>
      </c>
      <c r="B7" s="22">
        <v>900</v>
      </c>
    </row>
    <row r="8" spans="1:2" x14ac:dyDescent="0.3">
      <c r="A8" s="17" t="s">
        <v>216</v>
      </c>
      <c r="B8" s="22">
        <v>309</v>
      </c>
    </row>
    <row r="9" spans="1:2" x14ac:dyDescent="0.3">
      <c r="A9" s="17" t="s">
        <v>217</v>
      </c>
      <c r="B9" s="22">
        <v>790.43</v>
      </c>
    </row>
    <row r="10" spans="1:2" x14ac:dyDescent="0.3">
      <c r="A10" s="17" t="s">
        <v>218</v>
      </c>
      <c r="B10" s="22">
        <v>170.8</v>
      </c>
    </row>
    <row r="11" spans="1:2" x14ac:dyDescent="0.3">
      <c r="A11" s="17" t="s">
        <v>219</v>
      </c>
      <c r="B11" s="22">
        <v>277.75</v>
      </c>
    </row>
    <row r="12" spans="1:2" x14ac:dyDescent="0.3">
      <c r="A12" s="17" t="s">
        <v>220</v>
      </c>
      <c r="B12" s="22">
        <v>6090.54</v>
      </c>
    </row>
    <row r="13" spans="1:2" x14ac:dyDescent="0.3">
      <c r="A13" s="17" t="s">
        <v>221</v>
      </c>
      <c r="B13" s="22">
        <v>51.54</v>
      </c>
    </row>
    <row r="14" spans="1:2" x14ac:dyDescent="0.3">
      <c r="A14" s="17" t="s">
        <v>222</v>
      </c>
      <c r="B14" s="22">
        <v>1190.21</v>
      </c>
    </row>
    <row r="15" spans="1:2" x14ac:dyDescent="0.3">
      <c r="A15" s="17" t="s">
        <v>223</v>
      </c>
      <c r="B15" s="22">
        <v>4461.0600000000004</v>
      </c>
    </row>
    <row r="16" spans="1:2" x14ac:dyDescent="0.3">
      <c r="A16" s="17" t="s">
        <v>224</v>
      </c>
      <c r="B16" s="22">
        <v>1420.54</v>
      </c>
    </row>
    <row r="17" spans="1:2" x14ac:dyDescent="0.3">
      <c r="A17" s="17" t="s">
        <v>225</v>
      </c>
      <c r="B17" s="22">
        <v>36.51</v>
      </c>
    </row>
    <row r="18" spans="1:2" x14ac:dyDescent="0.3">
      <c r="A18" s="17" t="s">
        <v>226</v>
      </c>
      <c r="B18" s="22">
        <v>198</v>
      </c>
    </row>
    <row r="19" spans="1:2" x14ac:dyDescent="0.3">
      <c r="A19" s="17" t="s">
        <v>227</v>
      </c>
      <c r="B19" s="22">
        <v>250</v>
      </c>
    </row>
    <row r="20" spans="1:2" x14ac:dyDescent="0.3">
      <c r="A20" s="17" t="s">
        <v>228</v>
      </c>
      <c r="B20" s="22">
        <v>1495</v>
      </c>
    </row>
    <row r="21" spans="1:2" x14ac:dyDescent="0.3">
      <c r="A21" s="17" t="s">
        <v>229</v>
      </c>
      <c r="B21" s="22">
        <v>7.44</v>
      </c>
    </row>
    <row r="22" spans="1:2" x14ac:dyDescent="0.3">
      <c r="A22" s="17" t="s">
        <v>230</v>
      </c>
      <c r="B22" s="22">
        <v>2500</v>
      </c>
    </row>
    <row r="23" spans="1:2" x14ac:dyDescent="0.3">
      <c r="A23" s="17" t="s">
        <v>231</v>
      </c>
      <c r="B23" s="22">
        <v>3047.07</v>
      </c>
    </row>
    <row r="24" spans="1:2" x14ac:dyDescent="0.3">
      <c r="A24" s="17" t="s">
        <v>232</v>
      </c>
      <c r="B24" s="22">
        <v>700</v>
      </c>
    </row>
    <row r="25" spans="1:2" x14ac:dyDescent="0.3">
      <c r="A25" s="17" t="s">
        <v>233</v>
      </c>
      <c r="B25" s="22">
        <v>330.1</v>
      </c>
    </row>
    <row r="26" spans="1:2" x14ac:dyDescent="0.3">
      <c r="A26" s="17" t="s">
        <v>234</v>
      </c>
      <c r="B26" s="22">
        <v>2500</v>
      </c>
    </row>
    <row r="27" spans="1:2" x14ac:dyDescent="0.3">
      <c r="A27" s="17" t="s">
        <v>235</v>
      </c>
      <c r="B27" s="22">
        <v>250</v>
      </c>
    </row>
    <row r="28" spans="1:2" x14ac:dyDescent="0.3">
      <c r="A28" s="17" t="s">
        <v>236</v>
      </c>
      <c r="B28" s="22">
        <v>250</v>
      </c>
    </row>
    <row r="29" spans="1:2" x14ac:dyDescent="0.3">
      <c r="A29" s="17" t="s">
        <v>237</v>
      </c>
      <c r="B29" s="22">
        <v>250</v>
      </c>
    </row>
    <row r="30" spans="1:2" x14ac:dyDescent="0.3">
      <c r="A30" s="17" t="s">
        <v>238</v>
      </c>
      <c r="B30" s="22">
        <v>1799.22</v>
      </c>
    </row>
    <row r="31" spans="1:2" x14ac:dyDescent="0.3">
      <c r="A31" s="17" t="s">
        <v>239</v>
      </c>
      <c r="B31" s="22">
        <v>49.51</v>
      </c>
    </row>
    <row r="32" spans="1:2" x14ac:dyDescent="0.3">
      <c r="A32" s="17" t="s">
        <v>240</v>
      </c>
      <c r="B32" s="22">
        <v>695</v>
      </c>
    </row>
    <row r="33" spans="1:2" x14ac:dyDescent="0.3">
      <c r="A33" s="17" t="s">
        <v>241</v>
      </c>
      <c r="B33" s="22">
        <v>2500</v>
      </c>
    </row>
    <row r="34" spans="1:2" x14ac:dyDescent="0.3">
      <c r="A34" s="17" t="s">
        <v>242</v>
      </c>
      <c r="B34" s="22">
        <v>3427.62</v>
      </c>
    </row>
    <row r="35" spans="1:2" x14ac:dyDescent="0.3">
      <c r="A35" s="17" t="s">
        <v>243</v>
      </c>
      <c r="B35" s="22">
        <v>1037</v>
      </c>
    </row>
    <row r="36" spans="1:2" x14ac:dyDescent="0.3">
      <c r="A36" s="17" t="s">
        <v>244</v>
      </c>
      <c r="B36" s="22">
        <v>2799.9</v>
      </c>
    </row>
    <row r="37" spans="1:2" x14ac:dyDescent="0.3">
      <c r="A37" s="17" t="s">
        <v>245</v>
      </c>
      <c r="B37" s="22">
        <v>250</v>
      </c>
    </row>
    <row r="38" spans="1:2" x14ac:dyDescent="0.3">
      <c r="A38" s="17" t="s">
        <v>246</v>
      </c>
      <c r="B38" s="22">
        <v>47.7</v>
      </c>
    </row>
    <row r="39" spans="1:2" x14ac:dyDescent="0.3">
      <c r="A39" s="17" t="s">
        <v>247</v>
      </c>
      <c r="B39" s="22">
        <v>115.5</v>
      </c>
    </row>
    <row r="40" spans="1:2" x14ac:dyDescent="0.3">
      <c r="A40" s="17" t="s">
        <v>248</v>
      </c>
      <c r="B40" s="22">
        <v>162.61000000000001</v>
      </c>
    </row>
    <row r="41" spans="1:2" x14ac:dyDescent="0.3">
      <c r="A41" s="17" t="s">
        <v>249</v>
      </c>
      <c r="B41" s="22">
        <v>40</v>
      </c>
    </row>
    <row r="42" spans="1:2" x14ac:dyDescent="0.3">
      <c r="A42" s="17" t="s">
        <v>250</v>
      </c>
      <c r="B42" s="22">
        <v>909.5</v>
      </c>
    </row>
    <row r="43" spans="1:2" x14ac:dyDescent="0.3">
      <c r="A43" s="48" t="s">
        <v>251</v>
      </c>
      <c r="B43" s="25">
        <v>75254.62</v>
      </c>
    </row>
    <row r="47" spans="1:2" x14ac:dyDescent="0.3">
      <c r="A47" s="32" t="s">
        <v>252</v>
      </c>
      <c r="B47" s="12"/>
    </row>
  </sheetData>
  <mergeCells count="4">
    <mergeCell ref="A1:B1"/>
    <mergeCell ref="A2:B2"/>
    <mergeCell ref="A3:B3"/>
    <mergeCell ref="A47:B47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AF9E-BF6E-401D-9643-83D4D6F80ED4}">
  <dimension ref="A1:C36"/>
  <sheetViews>
    <sheetView workbookViewId="0"/>
  </sheetViews>
  <sheetFormatPr defaultRowHeight="14.4" x14ac:dyDescent="0.3"/>
  <cols>
    <col min="1" max="1" width="37.6640625" customWidth="1"/>
    <col min="2" max="2" width="14.88671875" customWidth="1"/>
  </cols>
  <sheetData>
    <row r="1" spans="1:3" x14ac:dyDescent="0.3">
      <c r="A1" t="s">
        <v>253</v>
      </c>
      <c r="B1" t="s">
        <v>254</v>
      </c>
    </row>
    <row r="2" spans="1:3" x14ac:dyDescent="0.3">
      <c r="A2" t="s">
        <v>255</v>
      </c>
      <c r="B2">
        <v>-50.74</v>
      </c>
      <c r="C2" t="s">
        <v>256</v>
      </c>
    </row>
    <row r="3" spans="1:3" x14ac:dyDescent="0.3">
      <c r="A3" t="s">
        <v>257</v>
      </c>
      <c r="B3">
        <v>-119.4</v>
      </c>
      <c r="C3" t="s">
        <v>258</v>
      </c>
    </row>
    <row r="4" spans="1:3" x14ac:dyDescent="0.3">
      <c r="A4" t="s">
        <v>259</v>
      </c>
      <c r="B4">
        <v>69.48</v>
      </c>
      <c r="C4" t="s">
        <v>260</v>
      </c>
    </row>
    <row r="5" spans="1:3" x14ac:dyDescent="0.3">
      <c r="A5" t="s">
        <v>259</v>
      </c>
      <c r="B5">
        <v>-407.16</v>
      </c>
      <c r="C5" t="s">
        <v>261</v>
      </c>
    </row>
    <row r="6" spans="1:3" x14ac:dyDescent="0.3">
      <c r="A6" t="s">
        <v>259</v>
      </c>
      <c r="B6">
        <v>-407.16</v>
      </c>
      <c r="C6" t="s">
        <v>262</v>
      </c>
    </row>
    <row r="7" spans="1:3" x14ac:dyDescent="0.3">
      <c r="A7" t="s">
        <v>259</v>
      </c>
      <c r="B7">
        <v>-407.16</v>
      </c>
      <c r="C7" t="s">
        <v>262</v>
      </c>
    </row>
    <row r="8" spans="1:3" x14ac:dyDescent="0.3">
      <c r="A8" t="s">
        <v>259</v>
      </c>
      <c r="B8">
        <v>-476.64</v>
      </c>
      <c r="C8" t="s">
        <v>262</v>
      </c>
    </row>
    <row r="9" spans="1:3" x14ac:dyDescent="0.3">
      <c r="A9" t="s">
        <v>263</v>
      </c>
      <c r="B9">
        <v>-217.84</v>
      </c>
      <c r="C9" t="s">
        <v>264</v>
      </c>
    </row>
    <row r="10" spans="1:3" x14ac:dyDescent="0.3">
      <c r="A10" t="s">
        <v>265</v>
      </c>
      <c r="B10">
        <v>-88.4</v>
      </c>
      <c r="C10" t="s">
        <v>266</v>
      </c>
    </row>
    <row r="11" spans="1:3" x14ac:dyDescent="0.3">
      <c r="A11" t="s">
        <v>267</v>
      </c>
      <c r="B11">
        <v>-86.58</v>
      </c>
      <c r="C11" t="s">
        <v>266</v>
      </c>
    </row>
    <row r="12" spans="1:3" x14ac:dyDescent="0.3">
      <c r="A12" t="s">
        <v>268</v>
      </c>
      <c r="B12">
        <v>-8.6999999999999993</v>
      </c>
      <c r="C12" t="s">
        <v>266</v>
      </c>
    </row>
    <row r="13" spans="1:3" x14ac:dyDescent="0.3">
      <c r="A13" t="s">
        <v>269</v>
      </c>
      <c r="B13">
        <v>-66.959999999999994</v>
      </c>
      <c r="C13" t="s">
        <v>266</v>
      </c>
    </row>
    <row r="14" spans="1:3" x14ac:dyDescent="0.3">
      <c r="A14" t="s">
        <v>270</v>
      </c>
      <c r="B14">
        <v>-20.59</v>
      </c>
    </row>
    <row r="15" spans="1:3" x14ac:dyDescent="0.3">
      <c r="A15" t="s">
        <v>271</v>
      </c>
      <c r="B15">
        <v>-85.4</v>
      </c>
      <c r="C15" t="s">
        <v>272</v>
      </c>
    </row>
    <row r="16" spans="1:3" x14ac:dyDescent="0.3">
      <c r="A16" t="s">
        <v>273</v>
      </c>
      <c r="B16">
        <v>-17.670000000000002</v>
      </c>
      <c r="C16" t="s">
        <v>274</v>
      </c>
    </row>
    <row r="17" spans="1:3" x14ac:dyDescent="0.3">
      <c r="A17" t="s">
        <v>275</v>
      </c>
      <c r="B17">
        <v>-30</v>
      </c>
      <c r="C17" t="s">
        <v>276</v>
      </c>
    </row>
    <row r="18" spans="1:3" x14ac:dyDescent="0.3">
      <c r="A18" t="s">
        <v>277</v>
      </c>
      <c r="B18">
        <v>-3.91</v>
      </c>
      <c r="C18" t="s">
        <v>274</v>
      </c>
    </row>
    <row r="19" spans="1:3" x14ac:dyDescent="0.3">
      <c r="A19" t="s">
        <v>278</v>
      </c>
      <c r="B19">
        <v>-19.829999999999998</v>
      </c>
      <c r="C19" t="s">
        <v>276</v>
      </c>
    </row>
    <row r="20" spans="1:3" x14ac:dyDescent="0.3">
      <c r="A20" t="s">
        <v>279</v>
      </c>
      <c r="B20">
        <v>-45.84</v>
      </c>
      <c r="C20" t="s">
        <v>276</v>
      </c>
    </row>
    <row r="21" spans="1:3" x14ac:dyDescent="0.3">
      <c r="A21" t="s">
        <v>280</v>
      </c>
      <c r="B21">
        <v>-40</v>
      </c>
      <c r="C21" t="s">
        <v>276</v>
      </c>
    </row>
    <row r="22" spans="1:3" x14ac:dyDescent="0.3">
      <c r="A22" t="s">
        <v>281</v>
      </c>
      <c r="B22">
        <v>3584.03</v>
      </c>
    </row>
    <row r="23" spans="1:3" x14ac:dyDescent="0.3">
      <c r="A23" t="s">
        <v>282</v>
      </c>
      <c r="B23">
        <v>-31.87</v>
      </c>
      <c r="C23" t="s">
        <v>274</v>
      </c>
    </row>
    <row r="24" spans="1:3" x14ac:dyDescent="0.3">
      <c r="A24" t="s">
        <v>283</v>
      </c>
      <c r="B24">
        <v>-40.450000000000003</v>
      </c>
      <c r="C24" t="s">
        <v>276</v>
      </c>
    </row>
    <row r="25" spans="1:3" x14ac:dyDescent="0.3">
      <c r="A25" t="s">
        <v>282</v>
      </c>
      <c r="B25">
        <v>-325.66000000000003</v>
      </c>
      <c r="C25" t="s">
        <v>274</v>
      </c>
    </row>
    <row r="26" spans="1:3" x14ac:dyDescent="0.3">
      <c r="A26" t="s">
        <v>284</v>
      </c>
      <c r="B26">
        <v>-27.98</v>
      </c>
      <c r="C26" t="s">
        <v>276</v>
      </c>
    </row>
    <row r="27" spans="1:3" x14ac:dyDescent="0.3">
      <c r="A27" t="s">
        <v>285</v>
      </c>
      <c r="B27">
        <v>-7.03</v>
      </c>
      <c r="C27" t="s">
        <v>276</v>
      </c>
    </row>
    <row r="28" spans="1:3" x14ac:dyDescent="0.3">
      <c r="A28" t="s">
        <v>286</v>
      </c>
      <c r="B28">
        <v>-977.07</v>
      </c>
      <c r="C28" t="s">
        <v>276</v>
      </c>
    </row>
    <row r="29" spans="1:3" x14ac:dyDescent="0.3">
      <c r="A29" t="s">
        <v>286</v>
      </c>
      <c r="B29">
        <v>-977.07</v>
      </c>
      <c r="C29" t="s">
        <v>276</v>
      </c>
    </row>
    <row r="30" spans="1:3" x14ac:dyDescent="0.3">
      <c r="A30" t="s">
        <v>287</v>
      </c>
      <c r="B30">
        <v>-30</v>
      </c>
      <c r="C30" t="s">
        <v>276</v>
      </c>
    </row>
    <row r="31" spans="1:3" x14ac:dyDescent="0.3">
      <c r="A31" t="s">
        <v>288</v>
      </c>
      <c r="B31">
        <v>-49.38</v>
      </c>
      <c r="C31" t="s">
        <v>276</v>
      </c>
    </row>
    <row r="32" spans="1:3" x14ac:dyDescent="0.3">
      <c r="A32" t="s">
        <v>289</v>
      </c>
      <c r="B32">
        <v>-40</v>
      </c>
      <c r="C32" t="s">
        <v>276</v>
      </c>
    </row>
    <row r="33" spans="1:3" x14ac:dyDescent="0.3">
      <c r="A33" t="s">
        <v>281</v>
      </c>
      <c r="B33">
        <v>2506.5100000000002</v>
      </c>
    </row>
    <row r="34" spans="1:3" x14ac:dyDescent="0.3">
      <c r="A34" t="s">
        <v>290</v>
      </c>
      <c r="B34">
        <v>-27.5</v>
      </c>
      <c r="C34" t="s">
        <v>291</v>
      </c>
    </row>
    <row r="35" spans="1:3" x14ac:dyDescent="0.3">
      <c r="A35" t="s">
        <v>292</v>
      </c>
      <c r="B35">
        <v>-18.989999999999998</v>
      </c>
      <c r="C35" t="s">
        <v>293</v>
      </c>
    </row>
    <row r="36" spans="1:3" x14ac:dyDescent="0.3">
      <c r="A36" t="s">
        <v>294</v>
      </c>
      <c r="B36">
        <v>-174</v>
      </c>
      <c r="C36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October Statistics</vt:lpstr>
      <vt:lpstr>Balance Sheet Sept 25</vt:lpstr>
      <vt:lpstr>Budget vs. Actuals Sept 25</vt:lpstr>
      <vt:lpstr>Expenses by Vendor Sept 25</vt:lpstr>
      <vt:lpstr>Credit Card 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dcterms:created xsi:type="dcterms:W3CDTF">2025-11-07T17:24:09Z</dcterms:created>
  <dcterms:modified xsi:type="dcterms:W3CDTF">2025-11-07T17:31:48Z</dcterms:modified>
</cp:coreProperties>
</file>