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FAB9910E-711B-4D56-A52B-FF9586FFA558}" xr6:coauthVersionLast="47" xr6:coauthVersionMax="47" xr10:uidLastSave="{00000000-0000-0000-0000-000000000000}"/>
  <bookViews>
    <workbookView xWindow="-108" yWindow="-108" windowWidth="23256" windowHeight="12456" firstSheet="1" activeTab="3" xr2:uid="{546B21AC-DE54-4B73-AA0F-8F8CE0B5057D}"/>
  </bookViews>
  <sheets>
    <sheet name="January 2026 Statistics" sheetId="6" r:id="rId1"/>
    <sheet name="Balance Sheet December 2025" sheetId="2" r:id="rId2"/>
    <sheet name="Profit and Loss December 2025" sheetId="3" r:id="rId3"/>
    <sheet name="Corrected Profit and Loss Dec 2" sheetId="7" r:id="rId4"/>
    <sheet name="Expenses by Vendor December 202" sheetId="4" r:id="rId5"/>
    <sheet name="Credit Card December 2025" sheetId="5" r:id="rId6"/>
    <sheet name="Sheet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7" i="7" l="1"/>
  <c r="AW97" i="7" s="1"/>
  <c r="AQ97" i="7"/>
  <c r="AS97" i="7" s="1"/>
  <c r="AM97" i="7"/>
  <c r="AO97" i="7" s="1"/>
  <c r="AI97" i="7"/>
  <c r="AK97" i="7" s="1"/>
  <c r="AE97" i="7"/>
  <c r="AG97" i="7" s="1"/>
  <c r="AA97" i="7"/>
  <c r="AC97" i="7" s="1"/>
  <c r="W97" i="7"/>
  <c r="Y97" i="7" s="1"/>
  <c r="S97" i="7"/>
  <c r="U97" i="7" s="1"/>
  <c r="O97" i="7"/>
  <c r="Q97" i="7" s="1"/>
  <c r="K97" i="7"/>
  <c r="M97" i="7" s="1"/>
  <c r="G97" i="7"/>
  <c r="I97" i="7" s="1"/>
  <c r="C97" i="7"/>
  <c r="AW96" i="7"/>
  <c r="AV96" i="7"/>
  <c r="AS96" i="7"/>
  <c r="AP96" i="7"/>
  <c r="AR96" i="7" s="1"/>
  <c r="AO96" i="7"/>
  <c r="AL96" i="7"/>
  <c r="AN96" i="7" s="1"/>
  <c r="AK96" i="7"/>
  <c r="AH96" i="7"/>
  <c r="AJ96" i="7" s="1"/>
  <c r="AG96" i="7"/>
  <c r="AD96" i="7"/>
  <c r="AF96" i="7" s="1"/>
  <c r="AC96" i="7"/>
  <c r="Z96" i="7"/>
  <c r="AB96" i="7" s="1"/>
  <c r="Y96" i="7"/>
  <c r="V96" i="7"/>
  <c r="X96" i="7" s="1"/>
  <c r="U96" i="7"/>
  <c r="R96" i="7"/>
  <c r="T96" i="7" s="1"/>
  <c r="Q96" i="7"/>
  <c r="N96" i="7"/>
  <c r="P96" i="7" s="1"/>
  <c r="M96" i="7"/>
  <c r="J96" i="7"/>
  <c r="L96" i="7" s="1"/>
  <c r="I96" i="7"/>
  <c r="F96" i="7"/>
  <c r="H96" i="7" s="1"/>
  <c r="E96" i="7"/>
  <c r="B96" i="7"/>
  <c r="AW95" i="7"/>
  <c r="AT95" i="7"/>
  <c r="AV95" i="7" s="1"/>
  <c r="AS95" i="7"/>
  <c r="AP95" i="7"/>
  <c r="AR95" i="7" s="1"/>
  <c r="AO95" i="7"/>
  <c r="AL95" i="7"/>
  <c r="AN95" i="7" s="1"/>
  <c r="AK95" i="7"/>
  <c r="AH95" i="7"/>
  <c r="AJ95" i="7" s="1"/>
  <c r="AG95" i="7"/>
  <c r="AD95" i="7"/>
  <c r="AF95" i="7" s="1"/>
  <c r="AC95" i="7"/>
  <c r="Z95" i="7"/>
  <c r="Y95" i="7"/>
  <c r="V95" i="7"/>
  <c r="X95" i="7" s="1"/>
  <c r="U95" i="7"/>
  <c r="R95" i="7"/>
  <c r="T95" i="7" s="1"/>
  <c r="Q95" i="7"/>
  <c r="N95" i="7"/>
  <c r="P95" i="7" s="1"/>
  <c r="M95" i="7"/>
  <c r="L95" i="7"/>
  <c r="I95" i="7"/>
  <c r="F95" i="7"/>
  <c r="H95" i="7" s="1"/>
  <c r="E95" i="7"/>
  <c r="B95" i="7"/>
  <c r="AW94" i="7"/>
  <c r="AT94" i="7"/>
  <c r="AV94" i="7" s="1"/>
  <c r="AS94" i="7"/>
  <c r="AP94" i="7"/>
  <c r="AR94" i="7" s="1"/>
  <c r="AO94" i="7"/>
  <c r="AL94" i="7"/>
  <c r="AK94" i="7"/>
  <c r="AH94" i="7"/>
  <c r="AJ94" i="7" s="1"/>
  <c r="AG94" i="7"/>
  <c r="AD94" i="7"/>
  <c r="AF94" i="7" s="1"/>
  <c r="AC94" i="7"/>
  <c r="AB94" i="7"/>
  <c r="Y94" i="7"/>
  <c r="V94" i="7"/>
  <c r="X94" i="7" s="1"/>
  <c r="U94" i="7"/>
  <c r="R94" i="7"/>
  <c r="T94" i="7" s="1"/>
  <c r="Q94" i="7"/>
  <c r="N94" i="7"/>
  <c r="M94" i="7"/>
  <c r="J94" i="7"/>
  <c r="L94" i="7" s="1"/>
  <c r="I94" i="7"/>
  <c r="F94" i="7"/>
  <c r="H94" i="7" s="1"/>
  <c r="E94" i="7"/>
  <c r="B94" i="7"/>
  <c r="AW93" i="7"/>
  <c r="AT93" i="7"/>
  <c r="AS93" i="7"/>
  <c r="AP93" i="7"/>
  <c r="AO93" i="7"/>
  <c r="AN93" i="7"/>
  <c r="AK93" i="7"/>
  <c r="AH93" i="7"/>
  <c r="AG93" i="7"/>
  <c r="AD93" i="7"/>
  <c r="AC93" i="7"/>
  <c r="AB93" i="7"/>
  <c r="Y93" i="7"/>
  <c r="V93" i="7"/>
  <c r="U93" i="7"/>
  <c r="R93" i="7"/>
  <c r="Q93" i="7"/>
  <c r="P93" i="7"/>
  <c r="M93" i="7"/>
  <c r="J93" i="7"/>
  <c r="I93" i="7"/>
  <c r="F93" i="7"/>
  <c r="E93" i="7"/>
  <c r="B93" i="7"/>
  <c r="AY92" i="7"/>
  <c r="BA92" i="7" s="1"/>
  <c r="AX92" i="7"/>
  <c r="AZ92" i="7" s="1"/>
  <c r="AW92" i="7"/>
  <c r="AV92" i="7"/>
  <c r="AS92" i="7"/>
  <c r="AR92" i="7"/>
  <c r="AO92" i="7"/>
  <c r="AN92" i="7"/>
  <c r="AK92" i="7"/>
  <c r="AJ92" i="7"/>
  <c r="AG92" i="7"/>
  <c r="AF92" i="7"/>
  <c r="AC92" i="7"/>
  <c r="AB92" i="7"/>
  <c r="Y92" i="7"/>
  <c r="X92" i="7"/>
  <c r="U92" i="7"/>
  <c r="T92" i="7"/>
  <c r="Q92" i="7"/>
  <c r="P92" i="7"/>
  <c r="M92" i="7"/>
  <c r="L92" i="7"/>
  <c r="I92" i="7"/>
  <c r="H92" i="7"/>
  <c r="E92" i="7"/>
  <c r="D92" i="7"/>
  <c r="AU91" i="7"/>
  <c r="AW91" i="7" s="1"/>
  <c r="AQ91" i="7"/>
  <c r="AS91" i="7" s="1"/>
  <c r="AM91" i="7"/>
  <c r="AO91" i="7" s="1"/>
  <c r="AI91" i="7"/>
  <c r="AK91" i="7" s="1"/>
  <c r="AE91" i="7"/>
  <c r="AG91" i="7" s="1"/>
  <c r="AA91" i="7"/>
  <c r="AC91" i="7" s="1"/>
  <c r="W91" i="7"/>
  <c r="Y91" i="7" s="1"/>
  <c r="S91" i="7"/>
  <c r="U91" i="7" s="1"/>
  <c r="O91" i="7"/>
  <c r="Q91" i="7" s="1"/>
  <c r="K91" i="7"/>
  <c r="M91" i="7" s="1"/>
  <c r="G91" i="7"/>
  <c r="I91" i="7" s="1"/>
  <c r="C91" i="7"/>
  <c r="AW90" i="7"/>
  <c r="AT90" i="7"/>
  <c r="AV90" i="7" s="1"/>
  <c r="AS90" i="7"/>
  <c r="AP90" i="7"/>
  <c r="AR90" i="7" s="1"/>
  <c r="AO90" i="7"/>
  <c r="AL90" i="7"/>
  <c r="AK90" i="7"/>
  <c r="AH90" i="7"/>
  <c r="AJ90" i="7" s="1"/>
  <c r="AG90" i="7"/>
  <c r="AD90" i="7"/>
  <c r="AF90" i="7" s="1"/>
  <c r="AC90" i="7"/>
  <c r="Z90" i="7"/>
  <c r="AB90" i="7" s="1"/>
  <c r="Y90" i="7"/>
  <c r="V90" i="7"/>
  <c r="X90" i="7" s="1"/>
  <c r="U90" i="7"/>
  <c r="R90" i="7"/>
  <c r="T90" i="7" s="1"/>
  <c r="Q90" i="7"/>
  <c r="N90" i="7"/>
  <c r="P90" i="7" s="1"/>
  <c r="M90" i="7"/>
  <c r="J90" i="7"/>
  <c r="L90" i="7" s="1"/>
  <c r="I90" i="7"/>
  <c r="F90" i="7"/>
  <c r="H90" i="7" s="1"/>
  <c r="E90" i="7"/>
  <c r="B90" i="7"/>
  <c r="AW89" i="7"/>
  <c r="AV89" i="7"/>
  <c r="AS89" i="7"/>
  <c r="AR89" i="7"/>
  <c r="AO89" i="7"/>
  <c r="AN89" i="7"/>
  <c r="AK89" i="7"/>
  <c r="AJ89" i="7"/>
  <c r="AG89" i="7"/>
  <c r="AF89" i="7"/>
  <c r="AC89" i="7"/>
  <c r="AB89" i="7"/>
  <c r="Y89" i="7"/>
  <c r="V89" i="7"/>
  <c r="U89" i="7"/>
  <c r="T89" i="7"/>
  <c r="Q89" i="7"/>
  <c r="P89" i="7"/>
  <c r="M89" i="7"/>
  <c r="L89" i="7"/>
  <c r="I89" i="7"/>
  <c r="H89" i="7"/>
  <c r="E89" i="7"/>
  <c r="D89" i="7"/>
  <c r="AW88" i="7"/>
  <c r="AV88" i="7"/>
  <c r="AS88" i="7"/>
  <c r="AR88" i="7"/>
  <c r="AO88" i="7"/>
  <c r="AN88" i="7"/>
  <c r="AK88" i="7"/>
  <c r="AJ88" i="7"/>
  <c r="AG88" i="7"/>
  <c r="AF88" i="7"/>
  <c r="AC88" i="7"/>
  <c r="AB88" i="7"/>
  <c r="Y88" i="7"/>
  <c r="X88" i="7"/>
  <c r="U88" i="7"/>
  <c r="T88" i="7"/>
  <c r="Q88" i="7"/>
  <c r="P88" i="7"/>
  <c r="M88" i="7"/>
  <c r="L88" i="7"/>
  <c r="I88" i="7"/>
  <c r="F88" i="7"/>
  <c r="E88" i="7"/>
  <c r="D88" i="7"/>
  <c r="AW87" i="7"/>
  <c r="AV87" i="7"/>
  <c r="AS87" i="7"/>
  <c r="AR87" i="7"/>
  <c r="AO87" i="7"/>
  <c r="AN87" i="7"/>
  <c r="AK87" i="7"/>
  <c r="AH87" i="7"/>
  <c r="AJ87" i="7" s="1"/>
  <c r="AG87" i="7"/>
  <c r="AF87" i="7"/>
  <c r="AC87" i="7"/>
  <c r="Z87" i="7"/>
  <c r="AB87" i="7" s="1"/>
  <c r="Y87" i="7"/>
  <c r="V87" i="7"/>
  <c r="X87" i="7" s="1"/>
  <c r="U87" i="7"/>
  <c r="T87" i="7"/>
  <c r="Q87" i="7"/>
  <c r="P87" i="7"/>
  <c r="N87" i="7"/>
  <c r="M87" i="7"/>
  <c r="J87" i="7"/>
  <c r="I87" i="7"/>
  <c r="H87" i="7"/>
  <c r="E87" i="7"/>
  <c r="D87" i="7"/>
  <c r="AW86" i="7"/>
  <c r="AT86" i="7"/>
  <c r="AS86" i="7"/>
  <c r="AP86" i="7"/>
  <c r="AO86" i="7"/>
  <c r="AN86" i="7"/>
  <c r="AK86" i="7"/>
  <c r="AH86" i="7"/>
  <c r="AG86" i="7"/>
  <c r="AD86" i="7"/>
  <c r="AC86" i="7"/>
  <c r="Z86" i="7"/>
  <c r="Y86" i="7"/>
  <c r="V86" i="7"/>
  <c r="U86" i="7"/>
  <c r="R86" i="7"/>
  <c r="Q86" i="7"/>
  <c r="P86" i="7"/>
  <c r="N86" i="7"/>
  <c r="N91" i="7" s="1"/>
  <c r="P91" i="7" s="1"/>
  <c r="M86" i="7"/>
  <c r="J86" i="7"/>
  <c r="I86" i="7"/>
  <c r="F86" i="7"/>
  <c r="E86" i="7"/>
  <c r="D86" i="7"/>
  <c r="B86" i="7"/>
  <c r="AY85" i="7"/>
  <c r="BA85" i="7" s="1"/>
  <c r="AX85" i="7"/>
  <c r="AZ85" i="7" s="1"/>
  <c r="AW85" i="7"/>
  <c r="AV85" i="7"/>
  <c r="AS85" i="7"/>
  <c r="AR85" i="7"/>
  <c r="AO85" i="7"/>
  <c r="AN85" i="7"/>
  <c r="AK85" i="7"/>
  <c r="AJ85" i="7"/>
  <c r="AG85" i="7"/>
  <c r="AF85" i="7"/>
  <c r="AC85" i="7"/>
  <c r="AB85" i="7"/>
  <c r="Y85" i="7"/>
  <c r="X85" i="7"/>
  <c r="U85" i="7"/>
  <c r="T85" i="7"/>
  <c r="Q85" i="7"/>
  <c r="P85" i="7"/>
  <c r="M85" i="7"/>
  <c r="L85" i="7"/>
  <c r="I85" i="7"/>
  <c r="H85" i="7"/>
  <c r="E85" i="7"/>
  <c r="D85" i="7"/>
  <c r="AW84" i="7"/>
  <c r="AV84" i="7"/>
  <c r="AS84" i="7"/>
  <c r="AP84" i="7"/>
  <c r="AR84" i="7" s="1"/>
  <c r="AO84" i="7"/>
  <c r="AN84" i="7"/>
  <c r="AK84" i="7"/>
  <c r="AJ84" i="7"/>
  <c r="AG84" i="7"/>
  <c r="AD84" i="7"/>
  <c r="AF84" i="7" s="1"/>
  <c r="AC84" i="7"/>
  <c r="AB84" i="7"/>
  <c r="Y84" i="7"/>
  <c r="X84" i="7"/>
  <c r="V84" i="7"/>
  <c r="U84" i="7"/>
  <c r="R84" i="7"/>
  <c r="T84" i="7" s="1"/>
  <c r="Q84" i="7"/>
  <c r="N84" i="7"/>
  <c r="P84" i="7" s="1"/>
  <c r="M84" i="7"/>
  <c r="L84" i="7"/>
  <c r="J84" i="7"/>
  <c r="I84" i="7"/>
  <c r="F84" i="7"/>
  <c r="H84" i="7" s="1"/>
  <c r="E84" i="7"/>
  <c r="B84" i="7"/>
  <c r="AU83" i="7"/>
  <c r="AW83" i="7" s="1"/>
  <c r="AQ83" i="7"/>
  <c r="AS83" i="7" s="1"/>
  <c r="AM83" i="7"/>
  <c r="AO83" i="7" s="1"/>
  <c r="AI83" i="7"/>
  <c r="AK83" i="7" s="1"/>
  <c r="AE83" i="7"/>
  <c r="AG83" i="7" s="1"/>
  <c r="AA83" i="7"/>
  <c r="AC83" i="7" s="1"/>
  <c r="W83" i="7"/>
  <c r="Y83" i="7" s="1"/>
  <c r="S83" i="7"/>
  <c r="U83" i="7" s="1"/>
  <c r="O83" i="7"/>
  <c r="Q83" i="7" s="1"/>
  <c r="K83" i="7"/>
  <c r="M83" i="7" s="1"/>
  <c r="G83" i="7"/>
  <c r="I83" i="7" s="1"/>
  <c r="C83" i="7"/>
  <c r="AW82" i="7"/>
  <c r="AT82" i="7"/>
  <c r="AV82" i="7" s="1"/>
  <c r="AS82" i="7"/>
  <c r="AR82" i="7"/>
  <c r="AO82" i="7"/>
  <c r="AL82" i="7"/>
  <c r="AN82" i="7" s="1"/>
  <c r="AK82" i="7"/>
  <c r="AH82" i="7"/>
  <c r="AJ82" i="7" s="1"/>
  <c r="AG82" i="7"/>
  <c r="AF82" i="7"/>
  <c r="AC82" i="7"/>
  <c r="Z82" i="7"/>
  <c r="AB82" i="7" s="1"/>
  <c r="Y82" i="7"/>
  <c r="V82" i="7"/>
  <c r="U82" i="7"/>
  <c r="T82" i="7"/>
  <c r="Q82" i="7"/>
  <c r="P82" i="7"/>
  <c r="M82" i="7"/>
  <c r="L82" i="7"/>
  <c r="I82" i="7"/>
  <c r="H82" i="7"/>
  <c r="E82" i="7"/>
  <c r="D82" i="7"/>
  <c r="AW81" i="7"/>
  <c r="AV81" i="7"/>
  <c r="AS81" i="7"/>
  <c r="AP81" i="7"/>
  <c r="AR81" i="7" s="1"/>
  <c r="AO81" i="7"/>
  <c r="AN81" i="7"/>
  <c r="AK81" i="7"/>
  <c r="AH81" i="7"/>
  <c r="AJ81" i="7" s="1"/>
  <c r="AG81" i="7"/>
  <c r="AD81" i="7"/>
  <c r="AF81" i="7" s="1"/>
  <c r="AC81" i="7"/>
  <c r="Z81" i="7"/>
  <c r="AB81" i="7" s="1"/>
  <c r="Y81" i="7"/>
  <c r="V81" i="7"/>
  <c r="X81" i="7" s="1"/>
  <c r="U81" i="7"/>
  <c r="R81" i="7"/>
  <c r="T81" i="7" s="1"/>
  <c r="Q81" i="7"/>
  <c r="N81" i="7"/>
  <c r="P81" i="7" s="1"/>
  <c r="M81" i="7"/>
  <c r="J81" i="7"/>
  <c r="L81" i="7" s="1"/>
  <c r="I81" i="7"/>
  <c r="F81" i="7"/>
  <c r="E81" i="7"/>
  <c r="D81" i="7"/>
  <c r="AW80" i="7"/>
  <c r="AT80" i="7"/>
  <c r="AV80" i="7" s="1"/>
  <c r="AS80" i="7"/>
  <c r="AP80" i="7"/>
  <c r="AR80" i="7" s="1"/>
  <c r="AO80" i="7"/>
  <c r="AL80" i="7"/>
  <c r="AN80" i="7" s="1"/>
  <c r="AK80" i="7"/>
  <c r="AJ80" i="7"/>
  <c r="AH80" i="7"/>
  <c r="AG80" i="7"/>
  <c r="AD80" i="7"/>
  <c r="AF80" i="7" s="1"/>
  <c r="AC80" i="7"/>
  <c r="Z80" i="7"/>
  <c r="Y80" i="7"/>
  <c r="V80" i="7"/>
  <c r="X80" i="7" s="1"/>
  <c r="U80" i="7"/>
  <c r="T80" i="7"/>
  <c r="R80" i="7"/>
  <c r="Q80" i="7"/>
  <c r="N80" i="7"/>
  <c r="P80" i="7" s="1"/>
  <c r="M80" i="7"/>
  <c r="J80" i="7"/>
  <c r="L80" i="7" s="1"/>
  <c r="I80" i="7"/>
  <c r="F80" i="7"/>
  <c r="H80" i="7" s="1"/>
  <c r="E80" i="7"/>
  <c r="B80" i="7"/>
  <c r="AW79" i="7"/>
  <c r="AT79" i="7"/>
  <c r="AS79" i="7"/>
  <c r="AP79" i="7"/>
  <c r="AO79" i="7"/>
  <c r="AL79" i="7"/>
  <c r="AK79" i="7"/>
  <c r="AH79" i="7"/>
  <c r="AG79" i="7"/>
  <c r="AF79" i="7"/>
  <c r="AD79" i="7"/>
  <c r="AD83" i="7" s="1"/>
  <c r="AF83" i="7" s="1"/>
  <c r="AC79" i="7"/>
  <c r="AB79" i="7"/>
  <c r="Y79" i="7"/>
  <c r="V79" i="7"/>
  <c r="U79" i="7"/>
  <c r="R79" i="7"/>
  <c r="Q79" i="7"/>
  <c r="N79" i="7"/>
  <c r="M79" i="7"/>
  <c r="J79" i="7"/>
  <c r="I79" i="7"/>
  <c r="F79" i="7"/>
  <c r="E79" i="7"/>
  <c r="B79" i="7"/>
  <c r="AY78" i="7"/>
  <c r="BA78" i="7" s="1"/>
  <c r="AX78" i="7"/>
  <c r="AZ78" i="7" s="1"/>
  <c r="AW78" i="7"/>
  <c r="AV78" i="7"/>
  <c r="AS78" i="7"/>
  <c r="AR78" i="7"/>
  <c r="AO78" i="7"/>
  <c r="AN78" i="7"/>
  <c r="AK78" i="7"/>
  <c r="AJ78" i="7"/>
  <c r="AG78" i="7"/>
  <c r="AF78" i="7"/>
  <c r="AC78" i="7"/>
  <c r="AB78" i="7"/>
  <c r="Y78" i="7"/>
  <c r="X78" i="7"/>
  <c r="U78" i="7"/>
  <c r="T78" i="7"/>
  <c r="Q78" i="7"/>
  <c r="P78" i="7"/>
  <c r="M78" i="7"/>
  <c r="L78" i="7"/>
  <c r="I78" i="7"/>
  <c r="H78" i="7"/>
  <c r="E78" i="7"/>
  <c r="D78" i="7"/>
  <c r="BA77" i="7"/>
  <c r="AW77" i="7"/>
  <c r="AT77" i="7"/>
  <c r="AS77" i="7"/>
  <c r="AR77" i="7"/>
  <c r="AO77" i="7"/>
  <c r="AN77" i="7"/>
  <c r="AK77" i="7"/>
  <c r="AJ77" i="7"/>
  <c r="AG77" i="7"/>
  <c r="AF77" i="7"/>
  <c r="AC77" i="7"/>
  <c r="AB77" i="7"/>
  <c r="Y77" i="7"/>
  <c r="X77" i="7"/>
  <c r="U77" i="7"/>
  <c r="T77" i="7"/>
  <c r="Q77" i="7"/>
  <c r="P77" i="7"/>
  <c r="M77" i="7"/>
  <c r="L77" i="7"/>
  <c r="I77" i="7"/>
  <c r="H77" i="7"/>
  <c r="E77" i="7"/>
  <c r="D77" i="7"/>
  <c r="AU76" i="7"/>
  <c r="AW76" i="7" s="1"/>
  <c r="AQ76" i="7"/>
  <c r="AS76" i="7" s="1"/>
  <c r="AM76" i="7"/>
  <c r="AO76" i="7" s="1"/>
  <c r="AI76" i="7"/>
  <c r="AK76" i="7" s="1"/>
  <c r="AE76" i="7"/>
  <c r="AG76" i="7" s="1"/>
  <c r="AA76" i="7"/>
  <c r="AC76" i="7" s="1"/>
  <c r="W76" i="7"/>
  <c r="Y76" i="7" s="1"/>
  <c r="S76" i="7"/>
  <c r="U76" i="7" s="1"/>
  <c r="O76" i="7"/>
  <c r="Q76" i="7" s="1"/>
  <c r="K76" i="7"/>
  <c r="M76" i="7" s="1"/>
  <c r="G76" i="7"/>
  <c r="I76" i="7" s="1"/>
  <c r="C76" i="7"/>
  <c r="AW75" i="7"/>
  <c r="AT75" i="7"/>
  <c r="AS75" i="7"/>
  <c r="AP75" i="7"/>
  <c r="AO75" i="7"/>
  <c r="AL75" i="7"/>
  <c r="AK75" i="7"/>
  <c r="AH75" i="7"/>
  <c r="AJ75" i="7" s="1"/>
  <c r="AG75" i="7"/>
  <c r="AF75" i="7"/>
  <c r="AD75" i="7"/>
  <c r="AC75" i="7"/>
  <c r="AB75" i="7"/>
  <c r="Z75" i="7"/>
  <c r="Y75" i="7"/>
  <c r="V75" i="7"/>
  <c r="X75" i="7" s="1"/>
  <c r="U75" i="7"/>
  <c r="T75" i="7"/>
  <c r="R75" i="7"/>
  <c r="R76" i="7" s="1"/>
  <c r="T76" i="7" s="1"/>
  <c r="Q75" i="7"/>
  <c r="N75" i="7"/>
  <c r="P75" i="7" s="1"/>
  <c r="M75" i="7"/>
  <c r="L75" i="7"/>
  <c r="J75" i="7"/>
  <c r="I75" i="7"/>
  <c r="H75" i="7"/>
  <c r="F75" i="7"/>
  <c r="F76" i="7" s="1"/>
  <c r="H76" i="7" s="1"/>
  <c r="E75" i="7"/>
  <c r="B75" i="7"/>
  <c r="AW74" i="7"/>
  <c r="AV74" i="7"/>
  <c r="AS74" i="7"/>
  <c r="AR74" i="7"/>
  <c r="AO74" i="7"/>
  <c r="AN74" i="7"/>
  <c r="AK74" i="7"/>
  <c r="AH74" i="7"/>
  <c r="AG74" i="7"/>
  <c r="AD74" i="7"/>
  <c r="AC74" i="7"/>
  <c r="Z74" i="7"/>
  <c r="Y74" i="7"/>
  <c r="V74" i="7"/>
  <c r="U74" i="7"/>
  <c r="T74" i="7"/>
  <c r="Q74" i="7"/>
  <c r="N74" i="7"/>
  <c r="M74" i="7"/>
  <c r="J74" i="7"/>
  <c r="I74" i="7"/>
  <c r="H74" i="7"/>
  <c r="E74" i="7"/>
  <c r="B74" i="7"/>
  <c r="AY73" i="7"/>
  <c r="BA73" i="7" s="1"/>
  <c r="AX73" i="7"/>
  <c r="AZ73" i="7" s="1"/>
  <c r="AW73" i="7"/>
  <c r="AV73" i="7"/>
  <c r="AS73" i="7"/>
  <c r="AR73" i="7"/>
  <c r="AO73" i="7"/>
  <c r="AN73" i="7"/>
  <c r="AK73" i="7"/>
  <c r="AJ73" i="7"/>
  <c r="AG73" i="7"/>
  <c r="AF73" i="7"/>
  <c r="AC73" i="7"/>
  <c r="AB73" i="7"/>
  <c r="Y73" i="7"/>
  <c r="X73" i="7"/>
  <c r="U73" i="7"/>
  <c r="T73" i="7"/>
  <c r="Q73" i="7"/>
  <c r="P73" i="7"/>
  <c r="M73" i="7"/>
  <c r="L73" i="7"/>
  <c r="I73" i="7"/>
  <c r="H73" i="7"/>
  <c r="E73" i="7"/>
  <c r="D73" i="7"/>
  <c r="AW72" i="7"/>
  <c r="AT72" i="7"/>
  <c r="AV72" i="7" s="1"/>
  <c r="AS72" i="7"/>
  <c r="AR72" i="7"/>
  <c r="AO72" i="7"/>
  <c r="AN72" i="7"/>
  <c r="AK72" i="7"/>
  <c r="AJ72" i="7"/>
  <c r="AG72" i="7"/>
  <c r="AD72" i="7"/>
  <c r="AF72" i="7" s="1"/>
  <c r="AC72" i="7"/>
  <c r="AB72" i="7"/>
  <c r="Y72" i="7"/>
  <c r="X72" i="7"/>
  <c r="U72" i="7"/>
  <c r="T72" i="7"/>
  <c r="Q72" i="7"/>
  <c r="P72" i="7"/>
  <c r="M72" i="7"/>
  <c r="J72" i="7"/>
  <c r="L72" i="7" s="1"/>
  <c r="I72" i="7"/>
  <c r="F72" i="7"/>
  <c r="E72" i="7"/>
  <c r="D72" i="7"/>
  <c r="AW71" i="7"/>
  <c r="AV71" i="7"/>
  <c r="AS71" i="7"/>
  <c r="AR71" i="7"/>
  <c r="AO71" i="7"/>
  <c r="AL71" i="7"/>
  <c r="AN71" i="7" s="1"/>
  <c r="AK71" i="7"/>
  <c r="AH71" i="7"/>
  <c r="AJ71" i="7" s="1"/>
  <c r="AG71" i="7"/>
  <c r="AF71" i="7"/>
  <c r="AC71" i="7"/>
  <c r="Z71" i="7"/>
  <c r="AB71" i="7" s="1"/>
  <c r="Y71" i="7"/>
  <c r="V71" i="7"/>
  <c r="X71" i="7" s="1"/>
  <c r="U71" i="7"/>
  <c r="R71" i="7"/>
  <c r="T71" i="7" s="1"/>
  <c r="Q71" i="7"/>
  <c r="N71" i="7"/>
  <c r="P71" i="7" s="1"/>
  <c r="M71" i="7"/>
  <c r="J71" i="7"/>
  <c r="L71" i="7" s="1"/>
  <c r="I71" i="7"/>
  <c r="F71" i="7"/>
  <c r="H71" i="7" s="1"/>
  <c r="E71" i="7"/>
  <c r="B71" i="7"/>
  <c r="AW70" i="7"/>
  <c r="AT70" i="7"/>
  <c r="AV70" i="7" s="1"/>
  <c r="AS70" i="7"/>
  <c r="AP70" i="7"/>
  <c r="AR70" i="7" s="1"/>
  <c r="AO70" i="7"/>
  <c r="AL70" i="7"/>
  <c r="AN70" i="7" s="1"/>
  <c r="AK70" i="7"/>
  <c r="AH70" i="7"/>
  <c r="AJ70" i="7" s="1"/>
  <c r="AG70" i="7"/>
  <c r="AD70" i="7"/>
  <c r="AF70" i="7" s="1"/>
  <c r="AC70" i="7"/>
  <c r="Z70" i="7"/>
  <c r="AB70" i="7" s="1"/>
  <c r="Y70" i="7"/>
  <c r="V70" i="7"/>
  <c r="X70" i="7" s="1"/>
  <c r="U70" i="7"/>
  <c r="R70" i="7"/>
  <c r="T70" i="7" s="1"/>
  <c r="Q70" i="7"/>
  <c r="N70" i="7"/>
  <c r="P70" i="7" s="1"/>
  <c r="M70" i="7"/>
  <c r="J70" i="7"/>
  <c r="L70" i="7" s="1"/>
  <c r="I70" i="7"/>
  <c r="H70" i="7"/>
  <c r="F70" i="7"/>
  <c r="E70" i="7"/>
  <c r="B70" i="7"/>
  <c r="AU69" i="7"/>
  <c r="AW69" i="7" s="1"/>
  <c r="AQ69" i="7"/>
  <c r="AS69" i="7" s="1"/>
  <c r="AM69" i="7"/>
  <c r="AO69" i="7" s="1"/>
  <c r="AI69" i="7"/>
  <c r="AK69" i="7" s="1"/>
  <c r="AE69" i="7"/>
  <c r="AG69" i="7" s="1"/>
  <c r="AA69" i="7"/>
  <c r="AC69" i="7" s="1"/>
  <c r="W69" i="7"/>
  <c r="Y69" i="7" s="1"/>
  <c r="S69" i="7"/>
  <c r="U69" i="7" s="1"/>
  <c r="O69" i="7"/>
  <c r="Q69" i="7" s="1"/>
  <c r="K69" i="7"/>
  <c r="M69" i="7" s="1"/>
  <c r="G69" i="7"/>
  <c r="I69" i="7" s="1"/>
  <c r="C69" i="7"/>
  <c r="AW68" i="7"/>
  <c r="AV68" i="7"/>
  <c r="AS68" i="7"/>
  <c r="AR68" i="7"/>
  <c r="AO68" i="7"/>
  <c r="AN68" i="7"/>
  <c r="AK68" i="7"/>
  <c r="AH68" i="7"/>
  <c r="AG68" i="7"/>
  <c r="AF68" i="7"/>
  <c r="AC68" i="7"/>
  <c r="AB68" i="7"/>
  <c r="Y68" i="7"/>
  <c r="X68" i="7"/>
  <c r="U68" i="7"/>
  <c r="T68" i="7"/>
  <c r="Q68" i="7"/>
  <c r="P68" i="7"/>
  <c r="M68" i="7"/>
  <c r="L68" i="7"/>
  <c r="I68" i="7"/>
  <c r="H68" i="7"/>
  <c r="E68" i="7"/>
  <c r="D68" i="7"/>
  <c r="AW67" i="7"/>
  <c r="AV67" i="7"/>
  <c r="AT67" i="7"/>
  <c r="AS67" i="7"/>
  <c r="AR67" i="7"/>
  <c r="AO67" i="7"/>
  <c r="AL67" i="7"/>
  <c r="AN67" i="7" s="1"/>
  <c r="AK67" i="7"/>
  <c r="AJ67" i="7"/>
  <c r="AG67" i="7"/>
  <c r="AF67" i="7"/>
  <c r="AC67" i="7"/>
  <c r="AB67" i="7"/>
  <c r="Y67" i="7"/>
  <c r="V67" i="7"/>
  <c r="X67" i="7" s="1"/>
  <c r="U67" i="7"/>
  <c r="R67" i="7"/>
  <c r="T67" i="7" s="1"/>
  <c r="Q67" i="7"/>
  <c r="N67" i="7"/>
  <c r="M67" i="7"/>
  <c r="L67" i="7"/>
  <c r="I67" i="7"/>
  <c r="H67" i="7"/>
  <c r="E67" i="7"/>
  <c r="D67" i="7"/>
  <c r="AW66" i="7"/>
  <c r="AT66" i="7"/>
  <c r="AV66" i="7" s="1"/>
  <c r="AS66" i="7"/>
  <c r="AP66" i="7"/>
  <c r="AR66" i="7" s="1"/>
  <c r="AO66" i="7"/>
  <c r="AN66" i="7"/>
  <c r="AK66" i="7"/>
  <c r="AH66" i="7"/>
  <c r="AJ66" i="7" s="1"/>
  <c r="AG66" i="7"/>
  <c r="AF66" i="7"/>
  <c r="AC66" i="7"/>
  <c r="AB66" i="7"/>
  <c r="Y66" i="7"/>
  <c r="V66" i="7"/>
  <c r="X66" i="7" s="1"/>
  <c r="U66" i="7"/>
  <c r="T66" i="7"/>
  <c r="Q66" i="7"/>
  <c r="N66" i="7"/>
  <c r="P66" i="7" s="1"/>
  <c r="M66" i="7"/>
  <c r="L66" i="7"/>
  <c r="I66" i="7"/>
  <c r="H66" i="7"/>
  <c r="E66" i="7"/>
  <c r="B66" i="7"/>
  <c r="AW65" i="7"/>
  <c r="AT65" i="7"/>
  <c r="AV65" i="7" s="1"/>
  <c r="AS65" i="7"/>
  <c r="AR65" i="7"/>
  <c r="AP65" i="7"/>
  <c r="AO65" i="7"/>
  <c r="AL65" i="7"/>
  <c r="AN65" i="7" s="1"/>
  <c r="AK65" i="7"/>
  <c r="AJ65" i="7"/>
  <c r="AG65" i="7"/>
  <c r="AD65" i="7"/>
  <c r="AF65" i="7" s="1"/>
  <c r="AC65" i="7"/>
  <c r="Z65" i="7"/>
  <c r="Y65" i="7"/>
  <c r="V65" i="7"/>
  <c r="X65" i="7" s="1"/>
  <c r="U65" i="7"/>
  <c r="T65" i="7"/>
  <c r="Q65" i="7"/>
  <c r="N65" i="7"/>
  <c r="M65" i="7"/>
  <c r="L65" i="7"/>
  <c r="J65" i="7"/>
  <c r="I65" i="7"/>
  <c r="H65" i="7"/>
  <c r="F65" i="7"/>
  <c r="E65" i="7"/>
  <c r="B65" i="7"/>
  <c r="AW64" i="7"/>
  <c r="AV64" i="7"/>
  <c r="AS64" i="7"/>
  <c r="AR64" i="7"/>
  <c r="AO64" i="7"/>
  <c r="AN64" i="7"/>
  <c r="AK64" i="7"/>
  <c r="AJ64" i="7"/>
  <c r="AG64" i="7"/>
  <c r="AF64" i="7"/>
  <c r="AC64" i="7"/>
  <c r="AB64" i="7"/>
  <c r="Y64" i="7"/>
  <c r="V64" i="7"/>
  <c r="X64" i="7" s="1"/>
  <c r="U64" i="7"/>
  <c r="R64" i="7"/>
  <c r="T64" i="7" s="1"/>
  <c r="Q64" i="7"/>
  <c r="P64" i="7"/>
  <c r="M64" i="7"/>
  <c r="L64" i="7"/>
  <c r="I64" i="7"/>
  <c r="F64" i="7"/>
  <c r="H64" i="7" s="1"/>
  <c r="E64" i="7"/>
  <c r="B64" i="7"/>
  <c r="AW63" i="7"/>
  <c r="AT63" i="7"/>
  <c r="AS63" i="7"/>
  <c r="AP63" i="7"/>
  <c r="AO63" i="7"/>
  <c r="AN63" i="7"/>
  <c r="AL63" i="7"/>
  <c r="AL69" i="7" s="1"/>
  <c r="AN69" i="7" s="1"/>
  <c r="AK63" i="7"/>
  <c r="AH63" i="7"/>
  <c r="AJ63" i="7" s="1"/>
  <c r="AG63" i="7"/>
  <c r="AF63" i="7"/>
  <c r="AD63" i="7"/>
  <c r="AD69" i="7" s="1"/>
  <c r="AF69" i="7" s="1"/>
  <c r="AC63" i="7"/>
  <c r="AB63" i="7"/>
  <c r="Y63" i="7"/>
  <c r="V63" i="7"/>
  <c r="U63" i="7"/>
  <c r="R63" i="7"/>
  <c r="Q63" i="7"/>
  <c r="P63" i="7"/>
  <c r="M63" i="7"/>
  <c r="J63" i="7"/>
  <c r="I63" i="7"/>
  <c r="F63" i="7"/>
  <c r="E63" i="7"/>
  <c r="D63" i="7"/>
  <c r="AW62" i="7"/>
  <c r="AV62" i="7"/>
  <c r="AS62" i="7"/>
  <c r="AR62" i="7"/>
  <c r="AO62" i="7"/>
  <c r="AN62" i="7"/>
  <c r="AK62" i="7"/>
  <c r="AH62" i="7"/>
  <c r="AG62" i="7"/>
  <c r="AF62" i="7"/>
  <c r="AC62" i="7"/>
  <c r="AB62" i="7"/>
  <c r="Y62" i="7"/>
  <c r="X62" i="7"/>
  <c r="U62" i="7"/>
  <c r="T62" i="7"/>
  <c r="Q62" i="7"/>
  <c r="P62" i="7"/>
  <c r="M62" i="7"/>
  <c r="L62" i="7"/>
  <c r="I62" i="7"/>
  <c r="H62" i="7"/>
  <c r="E62" i="7"/>
  <c r="D62" i="7"/>
  <c r="AY61" i="7"/>
  <c r="BA61" i="7" s="1"/>
  <c r="AX61" i="7"/>
  <c r="AZ61" i="7" s="1"/>
  <c r="AW61" i="7"/>
  <c r="AV61" i="7"/>
  <c r="AS61" i="7"/>
  <c r="AR61" i="7"/>
  <c r="AO61" i="7"/>
  <c r="AN61" i="7"/>
  <c r="AK61" i="7"/>
  <c r="AJ61" i="7"/>
  <c r="AG61" i="7"/>
  <c r="AF61" i="7"/>
  <c r="AC61" i="7"/>
  <c r="AB61" i="7"/>
  <c r="Y61" i="7"/>
  <c r="X61" i="7"/>
  <c r="U61" i="7"/>
  <c r="T61" i="7"/>
  <c r="Q61" i="7"/>
  <c r="P61" i="7"/>
  <c r="M61" i="7"/>
  <c r="L61" i="7"/>
  <c r="I61" i="7"/>
  <c r="H61" i="7"/>
  <c r="E61" i="7"/>
  <c r="D61" i="7"/>
  <c r="AW60" i="7"/>
  <c r="AV60" i="7"/>
  <c r="AS60" i="7"/>
  <c r="AP60" i="7"/>
  <c r="AR60" i="7" s="1"/>
  <c r="AO60" i="7"/>
  <c r="AL60" i="7"/>
  <c r="AN60" i="7" s="1"/>
  <c r="AK60" i="7"/>
  <c r="AJ60" i="7"/>
  <c r="AG60" i="7"/>
  <c r="AD60" i="7"/>
  <c r="AC60" i="7"/>
  <c r="Z60" i="7"/>
  <c r="AB60" i="7" s="1"/>
  <c r="Y60" i="7"/>
  <c r="X60" i="7"/>
  <c r="U60" i="7"/>
  <c r="T60" i="7"/>
  <c r="Q60" i="7"/>
  <c r="N60" i="7"/>
  <c r="P60" i="7" s="1"/>
  <c r="M60" i="7"/>
  <c r="J60" i="7"/>
  <c r="L60" i="7" s="1"/>
  <c r="I60" i="7"/>
  <c r="F60" i="7"/>
  <c r="H60" i="7" s="1"/>
  <c r="E60" i="7"/>
  <c r="D60" i="7"/>
  <c r="AW59" i="7"/>
  <c r="AT59" i="7"/>
  <c r="AV59" i="7" s="1"/>
  <c r="AS59" i="7"/>
  <c r="AR59" i="7"/>
  <c r="AO59" i="7"/>
  <c r="AL59" i="7"/>
  <c r="AN59" i="7" s="1"/>
  <c r="AK59" i="7"/>
  <c r="AH59" i="7"/>
  <c r="AJ59" i="7" s="1"/>
  <c r="AG59" i="7"/>
  <c r="AF59" i="7"/>
  <c r="AC59" i="7"/>
  <c r="Z59" i="7"/>
  <c r="AB59" i="7" s="1"/>
  <c r="Y59" i="7"/>
  <c r="V59" i="7"/>
  <c r="X59" i="7" s="1"/>
  <c r="U59" i="7"/>
  <c r="R59" i="7"/>
  <c r="T59" i="7" s="1"/>
  <c r="Q59" i="7"/>
  <c r="N59" i="7"/>
  <c r="P59" i="7" s="1"/>
  <c r="M59" i="7"/>
  <c r="J59" i="7"/>
  <c r="L59" i="7" s="1"/>
  <c r="I59" i="7"/>
  <c r="F59" i="7"/>
  <c r="H59" i="7" s="1"/>
  <c r="E59" i="7"/>
  <c r="B59" i="7"/>
  <c r="AU58" i="7"/>
  <c r="AW58" i="7" s="1"/>
  <c r="AQ58" i="7"/>
  <c r="AS58" i="7" s="1"/>
  <c r="AM58" i="7"/>
  <c r="AO58" i="7" s="1"/>
  <c r="AI58" i="7"/>
  <c r="AK58" i="7" s="1"/>
  <c r="AE58" i="7"/>
  <c r="AG58" i="7" s="1"/>
  <c r="AD58" i="7"/>
  <c r="AF58" i="7" s="1"/>
  <c r="AA58" i="7"/>
  <c r="AC58" i="7" s="1"/>
  <c r="Z58" i="7"/>
  <c r="AB58" i="7" s="1"/>
  <c r="W58" i="7"/>
  <c r="Y58" i="7" s="1"/>
  <c r="V58" i="7"/>
  <c r="X58" i="7" s="1"/>
  <c r="S58" i="7"/>
  <c r="U58" i="7" s="1"/>
  <c r="O58" i="7"/>
  <c r="Q58" i="7" s="1"/>
  <c r="N58" i="7"/>
  <c r="P58" i="7" s="1"/>
  <c r="K58" i="7"/>
  <c r="M58" i="7" s="1"/>
  <c r="J58" i="7"/>
  <c r="L58" i="7" s="1"/>
  <c r="G58" i="7"/>
  <c r="I58" i="7" s="1"/>
  <c r="C58" i="7"/>
  <c r="AW57" i="7"/>
  <c r="AT57" i="7"/>
  <c r="AS57" i="7"/>
  <c r="AR57" i="7"/>
  <c r="AO57" i="7"/>
  <c r="AL57" i="7"/>
  <c r="AN57" i="7" s="1"/>
  <c r="AK57" i="7"/>
  <c r="AJ57" i="7"/>
  <c r="AG57" i="7"/>
  <c r="AF57" i="7"/>
  <c r="AC57" i="7"/>
  <c r="AB57" i="7"/>
  <c r="Y57" i="7"/>
  <c r="X57" i="7"/>
  <c r="U57" i="7"/>
  <c r="R57" i="7"/>
  <c r="Q57" i="7"/>
  <c r="P57" i="7"/>
  <c r="M57" i="7"/>
  <c r="L57" i="7"/>
  <c r="I57" i="7"/>
  <c r="H57" i="7"/>
  <c r="E57" i="7"/>
  <c r="D57" i="7"/>
  <c r="AW56" i="7"/>
  <c r="AV56" i="7"/>
  <c r="AS56" i="7"/>
  <c r="AP56" i="7"/>
  <c r="AR56" i="7" s="1"/>
  <c r="AO56" i="7"/>
  <c r="AL56" i="7"/>
  <c r="AN56" i="7" s="1"/>
  <c r="AK56" i="7"/>
  <c r="AH56" i="7"/>
  <c r="AG56" i="7"/>
  <c r="AF56" i="7"/>
  <c r="AC56" i="7"/>
  <c r="AB56" i="7"/>
  <c r="Y56" i="7"/>
  <c r="X56" i="7"/>
  <c r="U56" i="7"/>
  <c r="T56" i="7"/>
  <c r="Q56" i="7"/>
  <c r="P56" i="7"/>
  <c r="M56" i="7"/>
  <c r="L56" i="7"/>
  <c r="I56" i="7"/>
  <c r="H56" i="7"/>
  <c r="E56" i="7"/>
  <c r="D56" i="7"/>
  <c r="AW55" i="7"/>
  <c r="AV55" i="7"/>
  <c r="AS55" i="7"/>
  <c r="AP55" i="7"/>
  <c r="AO55" i="7"/>
  <c r="AL55" i="7"/>
  <c r="AK55" i="7"/>
  <c r="AJ55" i="7"/>
  <c r="AG55" i="7"/>
  <c r="AF55" i="7"/>
  <c r="AC55" i="7"/>
  <c r="AB55" i="7"/>
  <c r="Y55" i="7"/>
  <c r="X55" i="7"/>
  <c r="U55" i="7"/>
  <c r="T55" i="7"/>
  <c r="Q55" i="7"/>
  <c r="P55" i="7"/>
  <c r="M55" i="7"/>
  <c r="L55" i="7"/>
  <c r="I55" i="7"/>
  <c r="F55" i="7"/>
  <c r="E55" i="7"/>
  <c r="B55" i="7"/>
  <c r="AY54" i="7"/>
  <c r="BA54" i="7" s="1"/>
  <c r="AX54" i="7"/>
  <c r="AZ54" i="7" s="1"/>
  <c r="AW54" i="7"/>
  <c r="AV54" i="7"/>
  <c r="AS54" i="7"/>
  <c r="AR54" i="7"/>
  <c r="AO54" i="7"/>
  <c r="AN54" i="7"/>
  <c r="AK54" i="7"/>
  <c r="AJ54" i="7"/>
  <c r="AG54" i="7"/>
  <c r="AF54" i="7"/>
  <c r="AC54" i="7"/>
  <c r="AB54" i="7"/>
  <c r="Y54" i="7"/>
  <c r="X54" i="7"/>
  <c r="U54" i="7"/>
  <c r="T54" i="7"/>
  <c r="Q54" i="7"/>
  <c r="P54" i="7"/>
  <c r="M54" i="7"/>
  <c r="L54" i="7"/>
  <c r="I54" i="7"/>
  <c r="H54" i="7"/>
  <c r="E54" i="7"/>
  <c r="D54" i="7"/>
  <c r="AW53" i="7"/>
  <c r="AV53" i="7"/>
  <c r="AS53" i="7"/>
  <c r="AR53" i="7"/>
  <c r="AO53" i="7"/>
  <c r="AN53" i="7"/>
  <c r="AK53" i="7"/>
  <c r="AH53" i="7"/>
  <c r="AG53" i="7"/>
  <c r="AF53" i="7"/>
  <c r="AC53" i="7"/>
  <c r="AB53" i="7"/>
  <c r="Y53" i="7"/>
  <c r="X53" i="7"/>
  <c r="U53" i="7"/>
  <c r="T53" i="7"/>
  <c r="Q53" i="7"/>
  <c r="P53" i="7"/>
  <c r="M53" i="7"/>
  <c r="L53" i="7"/>
  <c r="I53" i="7"/>
  <c r="H53" i="7"/>
  <c r="E53" i="7"/>
  <c r="D53" i="7"/>
  <c r="AW52" i="7"/>
  <c r="AT52" i="7"/>
  <c r="AV52" i="7" s="1"/>
  <c r="AS52" i="7"/>
  <c r="AP52" i="7"/>
  <c r="AR52" i="7" s="1"/>
  <c r="AO52" i="7"/>
  <c r="AL52" i="7"/>
  <c r="AN52" i="7" s="1"/>
  <c r="AK52" i="7"/>
  <c r="AH52" i="7"/>
  <c r="AJ52" i="7" s="1"/>
  <c r="AG52" i="7"/>
  <c r="AD52" i="7"/>
  <c r="AF52" i="7" s="1"/>
  <c r="AC52" i="7"/>
  <c r="Z52" i="7"/>
  <c r="AB52" i="7" s="1"/>
  <c r="Y52" i="7"/>
  <c r="V52" i="7"/>
  <c r="X52" i="7" s="1"/>
  <c r="U52" i="7"/>
  <c r="R52" i="7"/>
  <c r="T52" i="7" s="1"/>
  <c r="Q52" i="7"/>
  <c r="P52" i="7"/>
  <c r="M52" i="7"/>
  <c r="J52" i="7"/>
  <c r="L52" i="7" s="1"/>
  <c r="I52" i="7"/>
  <c r="F52" i="7"/>
  <c r="H52" i="7" s="1"/>
  <c r="E52" i="7"/>
  <c r="B52" i="7"/>
  <c r="AU51" i="7"/>
  <c r="AW51" i="7" s="1"/>
  <c r="AW50" i="7"/>
  <c r="AT50" i="7"/>
  <c r="AV50" i="7" s="1"/>
  <c r="AS50" i="7"/>
  <c r="AR50" i="7"/>
  <c r="AO50" i="7"/>
  <c r="AN50" i="7"/>
  <c r="AK50" i="7"/>
  <c r="AJ50" i="7"/>
  <c r="AG50" i="7"/>
  <c r="AF50" i="7"/>
  <c r="AC50" i="7"/>
  <c r="AB50" i="7"/>
  <c r="Y50" i="7"/>
  <c r="V50" i="7"/>
  <c r="X50" i="7" s="1"/>
  <c r="U50" i="7"/>
  <c r="T50" i="7"/>
  <c r="Q50" i="7"/>
  <c r="P50" i="7"/>
  <c r="M50" i="7"/>
  <c r="L50" i="7"/>
  <c r="I50" i="7"/>
  <c r="H50" i="7"/>
  <c r="E50" i="7"/>
  <c r="B50" i="7"/>
  <c r="AU49" i="7"/>
  <c r="AW49" i="7" s="1"/>
  <c r="AQ49" i="7"/>
  <c r="AS49" i="7" s="1"/>
  <c r="AM49" i="7"/>
  <c r="AO49" i="7" s="1"/>
  <c r="AI49" i="7"/>
  <c r="AK49" i="7" s="1"/>
  <c r="AE49" i="7"/>
  <c r="AG49" i="7" s="1"/>
  <c r="AA49" i="7"/>
  <c r="AC49" i="7" s="1"/>
  <c r="W49" i="7"/>
  <c r="Y49" i="7" s="1"/>
  <c r="S49" i="7"/>
  <c r="U49" i="7" s="1"/>
  <c r="O49" i="7"/>
  <c r="Q49" i="7" s="1"/>
  <c r="K49" i="7"/>
  <c r="M49" i="7" s="1"/>
  <c r="G49" i="7"/>
  <c r="I49" i="7" s="1"/>
  <c r="C49" i="7"/>
  <c r="AW48" i="7"/>
  <c r="AT48" i="7"/>
  <c r="AV48" i="7" s="1"/>
  <c r="AS48" i="7"/>
  <c r="AR48" i="7"/>
  <c r="AO48" i="7"/>
  <c r="AL48" i="7"/>
  <c r="AN48" i="7" s="1"/>
  <c r="AK48" i="7"/>
  <c r="AJ48" i="7"/>
  <c r="AG48" i="7"/>
  <c r="AD48" i="7"/>
  <c r="AF48" i="7" s="1"/>
  <c r="AC48" i="7"/>
  <c r="AB48" i="7"/>
  <c r="Y48" i="7"/>
  <c r="V48" i="7"/>
  <c r="X48" i="7" s="1"/>
  <c r="U48" i="7"/>
  <c r="T48" i="7"/>
  <c r="Q48" i="7"/>
  <c r="P48" i="7"/>
  <c r="M48" i="7"/>
  <c r="J48" i="7"/>
  <c r="L48" i="7" s="1"/>
  <c r="I48" i="7"/>
  <c r="H48" i="7"/>
  <c r="E48" i="7"/>
  <c r="B48" i="7"/>
  <c r="AW47" i="7"/>
  <c r="AT47" i="7"/>
  <c r="AV47" i="7" s="1"/>
  <c r="AS47" i="7"/>
  <c r="AP47" i="7"/>
  <c r="AR47" i="7" s="1"/>
  <c r="AO47" i="7"/>
  <c r="AL47" i="7"/>
  <c r="AN47" i="7" s="1"/>
  <c r="AK47" i="7"/>
  <c r="AH47" i="7"/>
  <c r="AJ47" i="7" s="1"/>
  <c r="AG47" i="7"/>
  <c r="AD47" i="7"/>
  <c r="AF47" i="7" s="1"/>
  <c r="AC47" i="7"/>
  <c r="Z47" i="7"/>
  <c r="AB47" i="7" s="1"/>
  <c r="Y47" i="7"/>
  <c r="V47" i="7"/>
  <c r="X47" i="7" s="1"/>
  <c r="U47" i="7"/>
  <c r="R47" i="7"/>
  <c r="T47" i="7" s="1"/>
  <c r="Q47" i="7"/>
  <c r="N47" i="7"/>
  <c r="P47" i="7" s="1"/>
  <c r="M47" i="7"/>
  <c r="J47" i="7"/>
  <c r="L47" i="7" s="1"/>
  <c r="I47" i="7"/>
  <c r="F47" i="7"/>
  <c r="H47" i="7" s="1"/>
  <c r="E47" i="7"/>
  <c r="B47" i="7"/>
  <c r="AW46" i="7"/>
  <c r="AT46" i="7"/>
  <c r="AS46" i="7"/>
  <c r="AP46" i="7"/>
  <c r="AO46" i="7"/>
  <c r="AL46" i="7"/>
  <c r="AK46" i="7"/>
  <c r="AH46" i="7"/>
  <c r="AG46" i="7"/>
  <c r="AD46" i="7"/>
  <c r="AC46" i="7"/>
  <c r="Z46" i="7"/>
  <c r="Y46" i="7"/>
  <c r="V46" i="7"/>
  <c r="U46" i="7"/>
  <c r="R46" i="7"/>
  <c r="Q46" i="7"/>
  <c r="N46" i="7"/>
  <c r="M46" i="7"/>
  <c r="J46" i="7"/>
  <c r="I46" i="7"/>
  <c r="F46" i="7"/>
  <c r="E46" i="7"/>
  <c r="B46" i="7"/>
  <c r="AY45" i="7"/>
  <c r="BA45" i="7" s="1"/>
  <c r="AX45" i="7"/>
  <c r="AZ45" i="7" s="1"/>
  <c r="AW45" i="7"/>
  <c r="AV45" i="7"/>
  <c r="AS45" i="7"/>
  <c r="AR45" i="7"/>
  <c r="AO45" i="7"/>
  <c r="AN45" i="7"/>
  <c r="AK45" i="7"/>
  <c r="AJ45" i="7"/>
  <c r="AG45" i="7"/>
  <c r="AF45" i="7"/>
  <c r="AC45" i="7"/>
  <c r="AB45" i="7"/>
  <c r="Y45" i="7"/>
  <c r="X45" i="7"/>
  <c r="U45" i="7"/>
  <c r="T45" i="7"/>
  <c r="Q45" i="7"/>
  <c r="P45" i="7"/>
  <c r="M45" i="7"/>
  <c r="L45" i="7"/>
  <c r="I45" i="7"/>
  <c r="H45" i="7"/>
  <c r="E45" i="7"/>
  <c r="D45" i="7"/>
  <c r="AW44" i="7"/>
  <c r="AT44" i="7"/>
  <c r="AV44" i="7" s="1"/>
  <c r="AS44" i="7"/>
  <c r="AP44" i="7"/>
  <c r="AR44" i="7" s="1"/>
  <c r="AO44" i="7"/>
  <c r="AN44" i="7"/>
  <c r="AK44" i="7"/>
  <c r="AJ44" i="7"/>
  <c r="AG44" i="7"/>
  <c r="AF44" i="7"/>
  <c r="AC44" i="7"/>
  <c r="AB44" i="7"/>
  <c r="Y44" i="7"/>
  <c r="X44" i="7"/>
  <c r="U44" i="7"/>
  <c r="R44" i="7"/>
  <c r="T44" i="7" s="1"/>
  <c r="Q44" i="7"/>
  <c r="N44" i="7"/>
  <c r="P44" i="7" s="1"/>
  <c r="M44" i="7"/>
  <c r="J44" i="7"/>
  <c r="I44" i="7"/>
  <c r="H44" i="7"/>
  <c r="E44" i="7"/>
  <c r="D44" i="7"/>
  <c r="AU43" i="7"/>
  <c r="AW43" i="7" s="1"/>
  <c r="AT43" i="7"/>
  <c r="AV43" i="7" s="1"/>
  <c r="AQ43" i="7"/>
  <c r="AS43" i="7" s="1"/>
  <c r="AP43" i="7"/>
  <c r="AR43" i="7" s="1"/>
  <c r="AM43" i="7"/>
  <c r="AO43" i="7" s="1"/>
  <c r="AL43" i="7"/>
  <c r="AN43" i="7" s="1"/>
  <c r="AI43" i="7"/>
  <c r="AK43" i="7" s="1"/>
  <c r="AH43" i="7"/>
  <c r="AJ43" i="7" s="1"/>
  <c r="AE43" i="7"/>
  <c r="AG43" i="7" s="1"/>
  <c r="AD43" i="7"/>
  <c r="AF43" i="7" s="1"/>
  <c r="AA43" i="7"/>
  <c r="AC43" i="7" s="1"/>
  <c r="Z43" i="7"/>
  <c r="AB43" i="7" s="1"/>
  <c r="W43" i="7"/>
  <c r="Y43" i="7" s="1"/>
  <c r="V43" i="7"/>
  <c r="X43" i="7" s="1"/>
  <c r="S43" i="7"/>
  <c r="U43" i="7" s="1"/>
  <c r="R43" i="7"/>
  <c r="T43" i="7" s="1"/>
  <c r="O43" i="7"/>
  <c r="Q43" i="7" s="1"/>
  <c r="N43" i="7"/>
  <c r="P43" i="7" s="1"/>
  <c r="K43" i="7"/>
  <c r="M43" i="7" s="1"/>
  <c r="J43" i="7"/>
  <c r="L43" i="7" s="1"/>
  <c r="G43" i="7"/>
  <c r="I43" i="7" s="1"/>
  <c r="F43" i="7"/>
  <c r="H43" i="7" s="1"/>
  <c r="C43" i="7"/>
  <c r="AW42" i="7"/>
  <c r="AV42" i="7"/>
  <c r="AS42" i="7"/>
  <c r="AR42" i="7"/>
  <c r="AO42" i="7"/>
  <c r="AN42" i="7"/>
  <c r="AK42" i="7"/>
  <c r="AJ42" i="7"/>
  <c r="AG42" i="7"/>
  <c r="AF42" i="7"/>
  <c r="AC42" i="7"/>
  <c r="AB42" i="7"/>
  <c r="Y42" i="7"/>
  <c r="X42" i="7"/>
  <c r="U42" i="7"/>
  <c r="T42" i="7"/>
  <c r="Q42" i="7"/>
  <c r="P42" i="7"/>
  <c r="M42" i="7"/>
  <c r="L42" i="7"/>
  <c r="I42" i="7"/>
  <c r="H42" i="7"/>
  <c r="E42" i="7"/>
  <c r="B42" i="7"/>
  <c r="AY41" i="7"/>
  <c r="BA41" i="7" s="1"/>
  <c r="AX41" i="7"/>
  <c r="AZ41" i="7" s="1"/>
  <c r="AW41" i="7"/>
  <c r="AV41" i="7"/>
  <c r="AS41" i="7"/>
  <c r="AR41" i="7"/>
  <c r="AO41" i="7"/>
  <c r="AN41" i="7"/>
  <c r="AK41" i="7"/>
  <c r="AJ41" i="7"/>
  <c r="AG41" i="7"/>
  <c r="AF41" i="7"/>
  <c r="AC41" i="7"/>
  <c r="AB41" i="7"/>
  <c r="Y41" i="7"/>
  <c r="X41" i="7"/>
  <c r="U41" i="7"/>
  <c r="T41" i="7"/>
  <c r="Q41" i="7"/>
  <c r="P41" i="7"/>
  <c r="M41" i="7"/>
  <c r="L41" i="7"/>
  <c r="I41" i="7"/>
  <c r="H41" i="7"/>
  <c r="E41" i="7"/>
  <c r="D41" i="7"/>
  <c r="AU40" i="7"/>
  <c r="AW40" i="7" s="1"/>
  <c r="AQ40" i="7"/>
  <c r="AM40" i="7"/>
  <c r="AI40" i="7"/>
  <c r="AE40" i="7"/>
  <c r="AA40" i="7"/>
  <c r="W40" i="7"/>
  <c r="S40" i="7"/>
  <c r="O40" i="7"/>
  <c r="K40" i="7"/>
  <c r="G40" i="7"/>
  <c r="C40" i="7"/>
  <c r="AW39" i="7"/>
  <c r="AT39" i="7"/>
  <c r="AV39" i="7" s="1"/>
  <c r="AS39" i="7"/>
  <c r="AP39" i="7"/>
  <c r="AR39" i="7" s="1"/>
  <c r="AO39" i="7"/>
  <c r="AL39" i="7"/>
  <c r="AN39" i="7" s="1"/>
  <c r="AK39" i="7"/>
  <c r="AH39" i="7"/>
  <c r="AJ39" i="7" s="1"/>
  <c r="AG39" i="7"/>
  <c r="AD39" i="7"/>
  <c r="AF39" i="7" s="1"/>
  <c r="AC39" i="7"/>
  <c r="AB39" i="7"/>
  <c r="Y39" i="7"/>
  <c r="X39" i="7"/>
  <c r="U39" i="7"/>
  <c r="R39" i="7"/>
  <c r="T39" i="7" s="1"/>
  <c r="Q39" i="7"/>
  <c r="N39" i="7"/>
  <c r="P39" i="7" s="1"/>
  <c r="M39" i="7"/>
  <c r="L39" i="7"/>
  <c r="I39" i="7"/>
  <c r="H39" i="7"/>
  <c r="E39" i="7"/>
  <c r="B39" i="7"/>
  <c r="AW38" i="7"/>
  <c r="AT38" i="7"/>
  <c r="AV38" i="7" s="1"/>
  <c r="AS38" i="7"/>
  <c r="AP38" i="7"/>
  <c r="AR38" i="7" s="1"/>
  <c r="AO38" i="7"/>
  <c r="AL38" i="7"/>
  <c r="AN38" i="7" s="1"/>
  <c r="AK38" i="7"/>
  <c r="AH38" i="7"/>
  <c r="AJ38" i="7" s="1"/>
  <c r="AG38" i="7"/>
  <c r="AD38" i="7"/>
  <c r="AF38" i="7" s="1"/>
  <c r="AC38" i="7"/>
  <c r="Z38" i="7"/>
  <c r="AB38" i="7" s="1"/>
  <c r="Y38" i="7"/>
  <c r="V38" i="7"/>
  <c r="X38" i="7" s="1"/>
  <c r="U38" i="7"/>
  <c r="R38" i="7"/>
  <c r="T38" i="7" s="1"/>
  <c r="Q38" i="7"/>
  <c r="N38" i="7"/>
  <c r="P38" i="7" s="1"/>
  <c r="M38" i="7"/>
  <c r="J38" i="7"/>
  <c r="L38" i="7" s="1"/>
  <c r="I38" i="7"/>
  <c r="F38" i="7"/>
  <c r="H38" i="7" s="1"/>
  <c r="E38" i="7"/>
  <c r="B38" i="7"/>
  <c r="AW37" i="7"/>
  <c r="AT37" i="7"/>
  <c r="AV37" i="7" s="1"/>
  <c r="AS37" i="7"/>
  <c r="AP37" i="7"/>
  <c r="AR37" i="7" s="1"/>
  <c r="AO37" i="7"/>
  <c r="AN37" i="7"/>
  <c r="AK37" i="7"/>
  <c r="AH37" i="7"/>
  <c r="AJ37" i="7" s="1"/>
  <c r="AG37" i="7"/>
  <c r="AD37" i="7"/>
  <c r="AF37" i="7" s="1"/>
  <c r="AC37" i="7"/>
  <c r="AB37" i="7"/>
  <c r="Y37" i="7"/>
  <c r="X37" i="7"/>
  <c r="U37" i="7"/>
  <c r="T37" i="7"/>
  <c r="Q37" i="7"/>
  <c r="P37" i="7"/>
  <c r="M37" i="7"/>
  <c r="L37" i="7"/>
  <c r="I37" i="7"/>
  <c r="H37" i="7"/>
  <c r="E37" i="7"/>
  <c r="B37" i="7"/>
  <c r="AW36" i="7"/>
  <c r="AT36" i="7"/>
  <c r="AS36" i="7"/>
  <c r="AP36" i="7"/>
  <c r="AO36" i="7"/>
  <c r="AL36" i="7"/>
  <c r="AK36" i="7"/>
  <c r="AH36" i="7"/>
  <c r="AG36" i="7"/>
  <c r="AD36" i="7"/>
  <c r="AC36" i="7"/>
  <c r="Z36" i="7"/>
  <c r="Y36" i="7"/>
  <c r="V36" i="7"/>
  <c r="U36" i="7"/>
  <c r="R36" i="7"/>
  <c r="Q36" i="7"/>
  <c r="N36" i="7"/>
  <c r="M36" i="7"/>
  <c r="J36" i="7"/>
  <c r="I36" i="7"/>
  <c r="F36" i="7"/>
  <c r="E36" i="7"/>
  <c r="B36" i="7"/>
  <c r="AY35" i="7"/>
  <c r="BA35" i="7" s="1"/>
  <c r="AX35" i="7"/>
  <c r="AZ35" i="7" s="1"/>
  <c r="AW35" i="7"/>
  <c r="AV35" i="7"/>
  <c r="AS35" i="7"/>
  <c r="AR35" i="7"/>
  <c r="AO35" i="7"/>
  <c r="AN35" i="7"/>
  <c r="AK35" i="7"/>
  <c r="AJ35" i="7"/>
  <c r="AG35" i="7"/>
  <c r="AF35" i="7"/>
  <c r="AC35" i="7"/>
  <c r="AB35" i="7"/>
  <c r="Y35" i="7"/>
  <c r="X35" i="7"/>
  <c r="U35" i="7"/>
  <c r="T35" i="7"/>
  <c r="Q35" i="7"/>
  <c r="P35" i="7"/>
  <c r="M35" i="7"/>
  <c r="L35" i="7"/>
  <c r="I35" i="7"/>
  <c r="H35" i="7"/>
  <c r="E35" i="7"/>
  <c r="D35" i="7"/>
  <c r="AY34" i="7"/>
  <c r="BA34" i="7" s="1"/>
  <c r="AX34" i="7"/>
  <c r="AZ34" i="7" s="1"/>
  <c r="AW34" i="7"/>
  <c r="AV34" i="7"/>
  <c r="AS34" i="7"/>
  <c r="AR34" i="7"/>
  <c r="AO34" i="7"/>
  <c r="AN34" i="7"/>
  <c r="AK34" i="7"/>
  <c r="AJ34" i="7"/>
  <c r="AG34" i="7"/>
  <c r="AF34" i="7"/>
  <c r="AC34" i="7"/>
  <c r="AB34" i="7"/>
  <c r="Y34" i="7"/>
  <c r="X34" i="7"/>
  <c r="U34" i="7"/>
  <c r="T34" i="7"/>
  <c r="Q34" i="7"/>
  <c r="P34" i="7"/>
  <c r="M34" i="7"/>
  <c r="L34" i="7"/>
  <c r="I34" i="7"/>
  <c r="H34" i="7"/>
  <c r="E34" i="7"/>
  <c r="D34" i="7"/>
  <c r="AW33" i="7"/>
  <c r="AV33" i="7"/>
  <c r="AS33" i="7"/>
  <c r="AP33" i="7"/>
  <c r="AR33" i="7" s="1"/>
  <c r="AO33" i="7"/>
  <c r="AN33" i="7"/>
  <c r="AK33" i="7"/>
  <c r="AH33" i="7"/>
  <c r="AJ33" i="7" s="1"/>
  <c r="AG33" i="7"/>
  <c r="AF33" i="7"/>
  <c r="AC33" i="7"/>
  <c r="Z33" i="7"/>
  <c r="AB33" i="7" s="1"/>
  <c r="Y33" i="7"/>
  <c r="V33" i="7"/>
  <c r="X33" i="7" s="1"/>
  <c r="U33" i="7"/>
  <c r="T33" i="7"/>
  <c r="Q33" i="7"/>
  <c r="N33" i="7"/>
  <c r="P33" i="7" s="1"/>
  <c r="M33" i="7"/>
  <c r="L33" i="7"/>
  <c r="I33" i="7"/>
  <c r="H33" i="7"/>
  <c r="E33" i="7"/>
  <c r="B33" i="7"/>
  <c r="AW32" i="7"/>
  <c r="AT32" i="7"/>
  <c r="AV32" i="7" s="1"/>
  <c r="AS32" i="7"/>
  <c r="AP32" i="7"/>
  <c r="AR32" i="7" s="1"/>
  <c r="AO32" i="7"/>
  <c r="AN32" i="7"/>
  <c r="AK32" i="7"/>
  <c r="AH32" i="7"/>
  <c r="AJ32" i="7" s="1"/>
  <c r="AG32" i="7"/>
  <c r="AF32" i="7"/>
  <c r="AC32" i="7"/>
  <c r="Z32" i="7"/>
  <c r="AB32" i="7" s="1"/>
  <c r="Y32" i="7"/>
  <c r="V32" i="7"/>
  <c r="X32" i="7" s="1"/>
  <c r="U32" i="7"/>
  <c r="T32" i="7"/>
  <c r="Q32" i="7"/>
  <c r="N32" i="7"/>
  <c r="P32" i="7" s="1"/>
  <c r="M32" i="7"/>
  <c r="J32" i="7"/>
  <c r="I32" i="7"/>
  <c r="H32" i="7"/>
  <c r="E32" i="7"/>
  <c r="D32" i="7"/>
  <c r="AW31" i="7"/>
  <c r="AT31" i="7"/>
  <c r="AV31" i="7" s="1"/>
  <c r="AS31" i="7"/>
  <c r="AP31" i="7"/>
  <c r="AR31" i="7" s="1"/>
  <c r="AO31" i="7"/>
  <c r="AL31" i="7"/>
  <c r="AN31" i="7" s="1"/>
  <c r="AK31" i="7"/>
  <c r="AH31" i="7"/>
  <c r="AJ31" i="7" s="1"/>
  <c r="AG31" i="7"/>
  <c r="AD31" i="7"/>
  <c r="AF31" i="7" s="1"/>
  <c r="AC31" i="7"/>
  <c r="Z31" i="7"/>
  <c r="AB31" i="7" s="1"/>
  <c r="Y31" i="7"/>
  <c r="V31" i="7"/>
  <c r="X31" i="7" s="1"/>
  <c r="U31" i="7"/>
  <c r="R31" i="7"/>
  <c r="T31" i="7" s="1"/>
  <c r="Q31" i="7"/>
  <c r="N31" i="7"/>
  <c r="P31" i="7" s="1"/>
  <c r="M31" i="7"/>
  <c r="J31" i="7"/>
  <c r="L31" i="7" s="1"/>
  <c r="I31" i="7"/>
  <c r="F31" i="7"/>
  <c r="H31" i="7" s="1"/>
  <c r="E31" i="7"/>
  <c r="B31" i="7"/>
  <c r="AY30" i="7"/>
  <c r="BA30" i="7" s="1"/>
  <c r="AW30" i="7"/>
  <c r="AT30" i="7"/>
  <c r="AV30" i="7" s="1"/>
  <c r="AS30" i="7"/>
  <c r="AR30" i="7"/>
  <c r="AO30" i="7"/>
  <c r="AL30" i="7"/>
  <c r="AN30" i="7" s="1"/>
  <c r="AK30" i="7"/>
  <c r="AH30" i="7"/>
  <c r="AJ30" i="7" s="1"/>
  <c r="AG30" i="7"/>
  <c r="AF30" i="7"/>
  <c r="AC30" i="7"/>
  <c r="Z30" i="7"/>
  <c r="AB30" i="7" s="1"/>
  <c r="Y30" i="7"/>
  <c r="X30" i="7"/>
  <c r="U30" i="7"/>
  <c r="T30" i="7"/>
  <c r="Q30" i="7"/>
  <c r="P30" i="7"/>
  <c r="M30" i="7"/>
  <c r="L30" i="7"/>
  <c r="I30" i="7"/>
  <c r="H30" i="7"/>
  <c r="E30" i="7"/>
  <c r="B30" i="7"/>
  <c r="AU29" i="7"/>
  <c r="AW29" i="7" s="1"/>
  <c r="AQ29" i="7"/>
  <c r="AS29" i="7" s="1"/>
  <c r="AM29" i="7"/>
  <c r="AO29" i="7" s="1"/>
  <c r="AI29" i="7"/>
  <c r="AK29" i="7" s="1"/>
  <c r="AE29" i="7"/>
  <c r="AG29" i="7" s="1"/>
  <c r="AA29" i="7"/>
  <c r="AC29" i="7" s="1"/>
  <c r="W29" i="7"/>
  <c r="Y29" i="7" s="1"/>
  <c r="S29" i="7"/>
  <c r="U29" i="7" s="1"/>
  <c r="O29" i="7"/>
  <c r="Q29" i="7" s="1"/>
  <c r="K29" i="7"/>
  <c r="M29" i="7" s="1"/>
  <c r="G29" i="7"/>
  <c r="I29" i="7" s="1"/>
  <c r="C29" i="7"/>
  <c r="AW28" i="7"/>
  <c r="AT28" i="7"/>
  <c r="AV28" i="7" s="1"/>
  <c r="AS28" i="7"/>
  <c r="AP28" i="7"/>
  <c r="AR28" i="7" s="1"/>
  <c r="AO28" i="7"/>
  <c r="AL28" i="7"/>
  <c r="AK28" i="7"/>
  <c r="AH28" i="7"/>
  <c r="AG28" i="7"/>
  <c r="AD28" i="7"/>
  <c r="AC28" i="7"/>
  <c r="AB28" i="7"/>
  <c r="Z28" i="7"/>
  <c r="Z29" i="7" s="1"/>
  <c r="AB29" i="7" s="1"/>
  <c r="Y28" i="7"/>
  <c r="V28" i="7"/>
  <c r="U28" i="7"/>
  <c r="R28" i="7"/>
  <c r="Q28" i="7"/>
  <c r="N28" i="7"/>
  <c r="M28" i="7"/>
  <c r="J28" i="7"/>
  <c r="I28" i="7"/>
  <c r="F28" i="7"/>
  <c r="E28" i="7"/>
  <c r="B28" i="7"/>
  <c r="AW27" i="7"/>
  <c r="AT27" i="7"/>
  <c r="AS27" i="7"/>
  <c r="AP27" i="7"/>
  <c r="AO27" i="7"/>
  <c r="AN27" i="7"/>
  <c r="AL27" i="7"/>
  <c r="AK27" i="7"/>
  <c r="AH27" i="7"/>
  <c r="AJ27" i="7" s="1"/>
  <c r="AG27" i="7"/>
  <c r="AD27" i="7"/>
  <c r="AF27" i="7" s="1"/>
  <c r="AC27" i="7"/>
  <c r="Z27" i="7"/>
  <c r="AB27" i="7" s="1"/>
  <c r="Y27" i="7"/>
  <c r="V27" i="7"/>
  <c r="X27" i="7" s="1"/>
  <c r="U27" i="7"/>
  <c r="R27" i="7"/>
  <c r="T27" i="7" s="1"/>
  <c r="Q27" i="7"/>
  <c r="N27" i="7"/>
  <c r="P27" i="7" s="1"/>
  <c r="M27" i="7"/>
  <c r="J27" i="7"/>
  <c r="L27" i="7" s="1"/>
  <c r="I27" i="7"/>
  <c r="F27" i="7"/>
  <c r="H27" i="7" s="1"/>
  <c r="E27" i="7"/>
  <c r="B27" i="7"/>
  <c r="D27" i="7" s="1"/>
  <c r="AY26" i="7"/>
  <c r="BA26" i="7" s="1"/>
  <c r="AW26" i="7"/>
  <c r="AT26" i="7"/>
  <c r="AV26" i="7" s="1"/>
  <c r="AS26" i="7"/>
  <c r="AP26" i="7"/>
  <c r="AR26" i="7" s="1"/>
  <c r="AO26" i="7"/>
  <c r="AN26" i="7"/>
  <c r="AK26" i="7"/>
  <c r="AH26" i="7"/>
  <c r="AJ26" i="7" s="1"/>
  <c r="AG26" i="7"/>
  <c r="AF26" i="7"/>
  <c r="AC26" i="7"/>
  <c r="Z26" i="7"/>
  <c r="AB26" i="7" s="1"/>
  <c r="Y26" i="7"/>
  <c r="V26" i="7"/>
  <c r="X26" i="7" s="1"/>
  <c r="U26" i="7"/>
  <c r="T26" i="7"/>
  <c r="Q26" i="7"/>
  <c r="P26" i="7"/>
  <c r="M26" i="7"/>
  <c r="L26" i="7"/>
  <c r="I26" i="7"/>
  <c r="H26" i="7"/>
  <c r="E26" i="7"/>
  <c r="B26" i="7"/>
  <c r="AY25" i="7"/>
  <c r="AU25" i="7"/>
  <c r="AQ25" i="7"/>
  <c r="AM25" i="7"/>
  <c r="AI25" i="7"/>
  <c r="AE25" i="7"/>
  <c r="AA25" i="7"/>
  <c r="W25" i="7"/>
  <c r="S25" i="7"/>
  <c r="O25" i="7"/>
  <c r="K25" i="7"/>
  <c r="G25" i="7"/>
  <c r="C25" i="7"/>
  <c r="AW24" i="7"/>
  <c r="AV24" i="7"/>
  <c r="AS24" i="7"/>
  <c r="AR24" i="7"/>
  <c r="AO24" i="7"/>
  <c r="AL24" i="7"/>
  <c r="AN24" i="7" s="1"/>
  <c r="AK24" i="7"/>
  <c r="AJ24" i="7"/>
  <c r="AG24" i="7"/>
  <c r="AD24" i="7"/>
  <c r="AC24" i="7"/>
  <c r="AB24" i="7"/>
  <c r="Y24" i="7"/>
  <c r="X24" i="7"/>
  <c r="U24" i="7"/>
  <c r="T24" i="7"/>
  <c r="Q24" i="7"/>
  <c r="P24" i="7"/>
  <c r="M24" i="7"/>
  <c r="L24" i="7"/>
  <c r="I24" i="7"/>
  <c r="H24" i="7"/>
  <c r="E24" i="7"/>
  <c r="D24" i="7"/>
  <c r="AW23" i="7"/>
  <c r="AV23" i="7"/>
  <c r="AS23" i="7"/>
  <c r="AP23" i="7"/>
  <c r="AO23" i="7"/>
  <c r="AN23" i="7"/>
  <c r="AK23" i="7"/>
  <c r="AJ23" i="7"/>
  <c r="AG23" i="7"/>
  <c r="AF23" i="7"/>
  <c r="AC23" i="7"/>
  <c r="AB23" i="7"/>
  <c r="Y23" i="7"/>
  <c r="X23" i="7"/>
  <c r="U23" i="7"/>
  <c r="T23" i="7"/>
  <c r="Q23" i="7"/>
  <c r="P23" i="7"/>
  <c r="M23" i="7"/>
  <c r="L23" i="7"/>
  <c r="I23" i="7"/>
  <c r="H23" i="7"/>
  <c r="E23" i="7"/>
  <c r="D23" i="7"/>
  <c r="AW22" i="7"/>
  <c r="AT22" i="7"/>
  <c r="AV22" i="7" s="1"/>
  <c r="AS22" i="7"/>
  <c r="AP22" i="7"/>
  <c r="AR22" i="7" s="1"/>
  <c r="AO22" i="7"/>
  <c r="AL22" i="7"/>
  <c r="AN22" i="7" s="1"/>
  <c r="AK22" i="7"/>
  <c r="AH22" i="7"/>
  <c r="AJ22" i="7" s="1"/>
  <c r="AG22" i="7"/>
  <c r="AD22" i="7"/>
  <c r="AF22" i="7" s="1"/>
  <c r="AC22" i="7"/>
  <c r="Z22" i="7"/>
  <c r="AB22" i="7" s="1"/>
  <c r="Y22" i="7"/>
  <c r="V22" i="7"/>
  <c r="X22" i="7" s="1"/>
  <c r="U22" i="7"/>
  <c r="R22" i="7"/>
  <c r="T22" i="7" s="1"/>
  <c r="Q22" i="7"/>
  <c r="N22" i="7"/>
  <c r="P22" i="7" s="1"/>
  <c r="M22" i="7"/>
  <c r="J22" i="7"/>
  <c r="L22" i="7" s="1"/>
  <c r="I22" i="7"/>
  <c r="F22" i="7"/>
  <c r="H22" i="7" s="1"/>
  <c r="E22" i="7"/>
  <c r="B22" i="7"/>
  <c r="AY21" i="7"/>
  <c r="BA21" i="7" s="1"/>
  <c r="AW21" i="7"/>
  <c r="AT21" i="7"/>
  <c r="AS21" i="7"/>
  <c r="AP21" i="7"/>
  <c r="AO21" i="7"/>
  <c r="AL21" i="7"/>
  <c r="AK21" i="7"/>
  <c r="AH21" i="7"/>
  <c r="AG21" i="7"/>
  <c r="AD21" i="7"/>
  <c r="AC21" i="7"/>
  <c r="Z21" i="7"/>
  <c r="Y21" i="7"/>
  <c r="V21" i="7"/>
  <c r="U21" i="7"/>
  <c r="R21" i="7"/>
  <c r="Q21" i="7"/>
  <c r="N21" i="7"/>
  <c r="M21" i="7"/>
  <c r="J21" i="7"/>
  <c r="I21" i="7"/>
  <c r="F21" i="7"/>
  <c r="E21" i="7"/>
  <c r="B21" i="7"/>
  <c r="AY20" i="7"/>
  <c r="BA20" i="7" s="1"/>
  <c r="AX20" i="7"/>
  <c r="AZ20" i="7" s="1"/>
  <c r="AW20" i="7"/>
  <c r="AV20" i="7"/>
  <c r="AS20" i="7"/>
  <c r="AR20" i="7"/>
  <c r="AO20" i="7"/>
  <c r="AN20" i="7"/>
  <c r="AK20" i="7"/>
  <c r="AJ20" i="7"/>
  <c r="AG20" i="7"/>
  <c r="AF20" i="7"/>
  <c r="AC20" i="7"/>
  <c r="AB20" i="7"/>
  <c r="Y20" i="7"/>
  <c r="X20" i="7"/>
  <c r="U20" i="7"/>
  <c r="T20" i="7"/>
  <c r="Q20" i="7"/>
  <c r="P20" i="7"/>
  <c r="M20" i="7"/>
  <c r="L20" i="7"/>
  <c r="I20" i="7"/>
  <c r="H20" i="7"/>
  <c r="E20" i="7"/>
  <c r="D20" i="7"/>
  <c r="W17" i="7"/>
  <c r="S17" i="7"/>
  <c r="O17" i="7"/>
  <c r="K17" i="7"/>
  <c r="G17" i="7"/>
  <c r="C17" i="7"/>
  <c r="AW16" i="7"/>
  <c r="AT16" i="7"/>
  <c r="AV16" i="7" s="1"/>
  <c r="AS16" i="7"/>
  <c r="AP16" i="7"/>
  <c r="AR16" i="7" s="1"/>
  <c r="AO16" i="7"/>
  <c r="AL16" i="7"/>
  <c r="AN16" i="7" s="1"/>
  <c r="AK16" i="7"/>
  <c r="AH16" i="7"/>
  <c r="AJ16" i="7" s="1"/>
  <c r="AG16" i="7"/>
  <c r="AD16" i="7"/>
  <c r="AF16" i="7" s="1"/>
  <c r="AC16" i="7"/>
  <c r="Z16" i="7"/>
  <c r="AB16" i="7" s="1"/>
  <c r="Y16" i="7"/>
  <c r="V16" i="7"/>
  <c r="X16" i="7" s="1"/>
  <c r="U16" i="7"/>
  <c r="R16" i="7"/>
  <c r="T16" i="7" s="1"/>
  <c r="Q16" i="7"/>
  <c r="N16" i="7"/>
  <c r="P16" i="7" s="1"/>
  <c r="M16" i="7"/>
  <c r="J16" i="7"/>
  <c r="L16" i="7" s="1"/>
  <c r="I16" i="7"/>
  <c r="F16" i="7"/>
  <c r="H16" i="7" s="1"/>
  <c r="E16" i="7"/>
  <c r="B16" i="7"/>
  <c r="AW15" i="7"/>
  <c r="AV15" i="7"/>
  <c r="AS15" i="7"/>
  <c r="AP15" i="7"/>
  <c r="AR15" i="7" s="1"/>
  <c r="AO15" i="7"/>
  <c r="AL15" i="7"/>
  <c r="AN15" i="7" s="1"/>
  <c r="AK15" i="7"/>
  <c r="AH15" i="7"/>
  <c r="AJ15" i="7" s="1"/>
  <c r="AG15" i="7"/>
  <c r="AD15" i="7"/>
  <c r="AF15" i="7" s="1"/>
  <c r="AC15" i="7"/>
  <c r="Z15" i="7"/>
  <c r="AB15" i="7" s="1"/>
  <c r="Y15" i="7"/>
  <c r="V15" i="7"/>
  <c r="X15" i="7" s="1"/>
  <c r="U15" i="7"/>
  <c r="R15" i="7"/>
  <c r="T15" i="7" s="1"/>
  <c r="Q15" i="7"/>
  <c r="N15" i="7"/>
  <c r="P15" i="7" s="1"/>
  <c r="M15" i="7"/>
  <c r="J15" i="7"/>
  <c r="L15" i="7" s="1"/>
  <c r="I15" i="7"/>
  <c r="F15" i="7"/>
  <c r="H15" i="7" s="1"/>
  <c r="E15" i="7"/>
  <c r="B15" i="7"/>
  <c r="AW14" i="7"/>
  <c r="AT14" i="7"/>
  <c r="AV14" i="7" s="1"/>
  <c r="AS14" i="7"/>
  <c r="AP14" i="7"/>
  <c r="AR14" i="7" s="1"/>
  <c r="AO14" i="7"/>
  <c r="AL14" i="7"/>
  <c r="AN14" i="7" s="1"/>
  <c r="AK14" i="7"/>
  <c r="AH14" i="7"/>
  <c r="AJ14" i="7" s="1"/>
  <c r="AG14" i="7"/>
  <c r="AD14" i="7"/>
  <c r="AF14" i="7" s="1"/>
  <c r="AC14" i="7"/>
  <c r="Z14" i="7"/>
  <c r="AB14" i="7" s="1"/>
  <c r="Y14" i="7"/>
  <c r="V14" i="7"/>
  <c r="X14" i="7" s="1"/>
  <c r="U14" i="7"/>
  <c r="R14" i="7"/>
  <c r="T14" i="7" s="1"/>
  <c r="Q14" i="7"/>
  <c r="N14" i="7"/>
  <c r="P14" i="7" s="1"/>
  <c r="M14" i="7"/>
  <c r="J14" i="7"/>
  <c r="L14" i="7" s="1"/>
  <c r="I14" i="7"/>
  <c r="F14" i="7"/>
  <c r="H14" i="7" s="1"/>
  <c r="E14" i="7"/>
  <c r="B14" i="7"/>
  <c r="AW13" i="7"/>
  <c r="AT13" i="7"/>
  <c r="AV13" i="7" s="1"/>
  <c r="AS13" i="7"/>
  <c r="AP13" i="7"/>
  <c r="AR13" i="7" s="1"/>
  <c r="AO13" i="7"/>
  <c r="AL13" i="7"/>
  <c r="AN13" i="7" s="1"/>
  <c r="AK13" i="7"/>
  <c r="AH13" i="7"/>
  <c r="AJ13" i="7" s="1"/>
  <c r="AG13" i="7"/>
  <c r="AD13" i="7"/>
  <c r="AF13" i="7" s="1"/>
  <c r="AC13" i="7"/>
  <c r="Z13" i="7"/>
  <c r="AB13" i="7" s="1"/>
  <c r="Y13" i="7"/>
  <c r="V13" i="7"/>
  <c r="X13" i="7" s="1"/>
  <c r="U13" i="7"/>
  <c r="R13" i="7"/>
  <c r="T13" i="7" s="1"/>
  <c r="Q13" i="7"/>
  <c r="N13" i="7"/>
  <c r="P13" i="7" s="1"/>
  <c r="M13" i="7"/>
  <c r="L13" i="7"/>
  <c r="I13" i="7"/>
  <c r="F13" i="7"/>
  <c r="H13" i="7" s="1"/>
  <c r="E13" i="7"/>
  <c r="B13" i="7"/>
  <c r="AW12" i="7"/>
  <c r="AT12" i="7"/>
  <c r="AV12" i="7" s="1"/>
  <c r="AS12" i="7"/>
  <c r="AP12" i="7"/>
  <c r="AR12" i="7" s="1"/>
  <c r="AO12" i="7"/>
  <c r="AL12" i="7"/>
  <c r="AN12" i="7" s="1"/>
  <c r="AK12" i="7"/>
  <c r="AH12" i="7"/>
  <c r="AJ12" i="7" s="1"/>
  <c r="AG12" i="7"/>
  <c r="AF12" i="7"/>
  <c r="AC12" i="7"/>
  <c r="Z12" i="7"/>
  <c r="AB12" i="7" s="1"/>
  <c r="Y12" i="7"/>
  <c r="V12" i="7"/>
  <c r="X12" i="7" s="1"/>
  <c r="U12" i="7"/>
  <c r="R12" i="7"/>
  <c r="T12" i="7" s="1"/>
  <c r="Q12" i="7"/>
  <c r="N12" i="7"/>
  <c r="P12" i="7" s="1"/>
  <c r="M12" i="7"/>
  <c r="L12" i="7"/>
  <c r="I12" i="7"/>
  <c r="F12" i="7"/>
  <c r="H12" i="7" s="1"/>
  <c r="E12" i="7"/>
  <c r="B12" i="7"/>
  <c r="AY11" i="7"/>
  <c r="AU11" i="7"/>
  <c r="AT11" i="7"/>
  <c r="AQ11" i="7"/>
  <c r="AP11" i="7"/>
  <c r="AM11" i="7"/>
  <c r="AL11" i="7"/>
  <c r="AI11" i="7"/>
  <c r="AH11" i="7"/>
  <c r="AE11" i="7"/>
  <c r="AD11" i="7"/>
  <c r="AA11" i="7"/>
  <c r="Z11" i="7"/>
  <c r="W11" i="7"/>
  <c r="Y11" i="7" s="1"/>
  <c r="S11" i="7"/>
  <c r="U11" i="7" s="1"/>
  <c r="O11" i="7"/>
  <c r="Q11" i="7" s="1"/>
  <c r="K11" i="7"/>
  <c r="M11" i="7" s="1"/>
  <c r="G11" i="7"/>
  <c r="I11" i="7" s="1"/>
  <c r="C11" i="7"/>
  <c r="E11" i="7" s="1"/>
  <c r="AW10" i="7"/>
  <c r="AV10" i="7"/>
  <c r="AS10" i="7"/>
  <c r="AR10" i="7"/>
  <c r="AO10" i="7"/>
  <c r="AN10" i="7"/>
  <c r="AK10" i="7"/>
  <c r="AJ10" i="7"/>
  <c r="AG10" i="7"/>
  <c r="AF10" i="7"/>
  <c r="AC10" i="7"/>
  <c r="AB10" i="7"/>
  <c r="Y10" i="7"/>
  <c r="V10" i="7"/>
  <c r="U10" i="7"/>
  <c r="R10" i="7"/>
  <c r="Q10" i="7"/>
  <c r="N10" i="7"/>
  <c r="M10" i="7"/>
  <c r="L10" i="7"/>
  <c r="I10" i="7"/>
  <c r="F10" i="7"/>
  <c r="E10" i="7"/>
  <c r="B10" i="7"/>
  <c r="AW9" i="7"/>
  <c r="AV9" i="7"/>
  <c r="AS9" i="7"/>
  <c r="AR9" i="7"/>
  <c r="AO9" i="7"/>
  <c r="AN9" i="7"/>
  <c r="AK9" i="7"/>
  <c r="AJ9" i="7"/>
  <c r="AG9" i="7"/>
  <c r="AF9" i="7"/>
  <c r="AC9" i="7"/>
  <c r="AB9" i="7"/>
  <c r="Y9" i="7"/>
  <c r="X9" i="7"/>
  <c r="U9" i="7"/>
  <c r="T9" i="7"/>
  <c r="Q9" i="7"/>
  <c r="P9" i="7"/>
  <c r="M9" i="7"/>
  <c r="J9" i="7"/>
  <c r="I9" i="7"/>
  <c r="H9" i="7"/>
  <c r="E9" i="7"/>
  <c r="D9" i="7"/>
  <c r="AY8" i="7"/>
  <c r="BA8" i="7" s="1"/>
  <c r="AX8" i="7"/>
  <c r="AZ8" i="7" s="1"/>
  <c r="AW8" i="7"/>
  <c r="AV8" i="7"/>
  <c r="AS8" i="7"/>
  <c r="AR8" i="7"/>
  <c r="AO8" i="7"/>
  <c r="AN8" i="7"/>
  <c r="AK8" i="7"/>
  <c r="AJ8" i="7"/>
  <c r="AG8" i="7"/>
  <c r="AF8" i="7"/>
  <c r="AC8" i="7"/>
  <c r="AB8" i="7"/>
  <c r="Y8" i="7"/>
  <c r="X8" i="7"/>
  <c r="U8" i="7"/>
  <c r="T8" i="7"/>
  <c r="Q8" i="7"/>
  <c r="P8" i="7"/>
  <c r="M8" i="7"/>
  <c r="L8" i="7"/>
  <c r="I8" i="7"/>
  <c r="H8" i="7"/>
  <c r="E8" i="7"/>
  <c r="D8" i="7"/>
  <c r="G35" i="6"/>
  <c r="F35" i="6"/>
  <c r="H35" i="6" s="1"/>
  <c r="D35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28" i="6"/>
  <c r="H28" i="6" s="1"/>
  <c r="F28" i="6"/>
  <c r="D28" i="6"/>
  <c r="H27" i="6"/>
  <c r="G27" i="6"/>
  <c r="F27" i="6"/>
  <c r="D27" i="6"/>
  <c r="G26" i="6"/>
  <c r="H26" i="6" s="1"/>
  <c r="F26" i="6"/>
  <c r="D26" i="6"/>
  <c r="G23" i="6"/>
  <c r="H23" i="6" s="1"/>
  <c r="F23" i="6"/>
  <c r="D23" i="6"/>
  <c r="G22" i="6"/>
  <c r="H22" i="6" s="1"/>
  <c r="F22" i="6"/>
  <c r="D22" i="6"/>
  <c r="G21" i="6"/>
  <c r="H21" i="6" s="1"/>
  <c r="F21" i="6"/>
  <c r="D21" i="6"/>
  <c r="H20" i="6"/>
  <c r="G20" i="6"/>
  <c r="F20" i="6"/>
  <c r="D20" i="6"/>
  <c r="G17" i="6"/>
  <c r="H17" i="6" s="1"/>
  <c r="F17" i="6"/>
  <c r="D17" i="6"/>
  <c r="G16" i="6"/>
  <c r="H16" i="6" s="1"/>
  <c r="F16" i="6"/>
  <c r="D16" i="6"/>
  <c r="G13" i="6"/>
  <c r="H13" i="6" s="1"/>
  <c r="F13" i="6"/>
  <c r="D13" i="6"/>
  <c r="G12" i="6"/>
  <c r="H12" i="6" s="1"/>
  <c r="F12" i="6"/>
  <c r="D12" i="6"/>
  <c r="H10" i="6"/>
  <c r="G10" i="6"/>
  <c r="F10" i="6"/>
  <c r="D10" i="6"/>
  <c r="G9" i="6"/>
  <c r="H9" i="6" s="1"/>
  <c r="F9" i="6"/>
  <c r="D9" i="6"/>
  <c r="G8" i="6"/>
  <c r="H8" i="6" s="1"/>
  <c r="F8" i="6"/>
  <c r="D8" i="6"/>
  <c r="G7" i="6"/>
  <c r="H7" i="6" s="1"/>
  <c r="F7" i="6"/>
  <c r="D7" i="6"/>
  <c r="G6" i="6"/>
  <c r="H6" i="6" s="1"/>
  <c r="F6" i="6"/>
  <c r="D6" i="6"/>
  <c r="H5" i="6"/>
  <c r="G5" i="6"/>
  <c r="G4" i="6"/>
  <c r="H4" i="6" s="1"/>
  <c r="F4" i="6"/>
  <c r="D4" i="6"/>
  <c r="AY97" i="7" l="1"/>
  <c r="BA97" i="7" s="1"/>
  <c r="E97" i="7"/>
  <c r="AX96" i="7"/>
  <c r="D96" i="7"/>
  <c r="Z97" i="7"/>
  <c r="AB97" i="7" s="1"/>
  <c r="AB95" i="7"/>
  <c r="AX95" i="7"/>
  <c r="D95" i="7"/>
  <c r="AL97" i="7"/>
  <c r="AN97" i="7" s="1"/>
  <c r="AN94" i="7"/>
  <c r="P94" i="7"/>
  <c r="N97" i="7"/>
  <c r="P97" i="7" s="1"/>
  <c r="AX94" i="7"/>
  <c r="D94" i="7"/>
  <c r="AT97" i="7"/>
  <c r="AV97" i="7" s="1"/>
  <c r="AV93" i="7"/>
  <c r="AP97" i="7"/>
  <c r="AR97" i="7" s="1"/>
  <c r="AR93" i="7"/>
  <c r="AJ93" i="7"/>
  <c r="AH97" i="7"/>
  <c r="AJ97" i="7" s="1"/>
  <c r="AD97" i="7"/>
  <c r="AF97" i="7" s="1"/>
  <c r="AF93" i="7"/>
  <c r="V97" i="7"/>
  <c r="X97" i="7" s="1"/>
  <c r="X93" i="7"/>
  <c r="R97" i="7"/>
  <c r="T97" i="7" s="1"/>
  <c r="T93" i="7"/>
  <c r="J97" i="7"/>
  <c r="L97" i="7" s="1"/>
  <c r="L93" i="7"/>
  <c r="F97" i="7"/>
  <c r="H97" i="7" s="1"/>
  <c r="H93" i="7"/>
  <c r="B97" i="7"/>
  <c r="AX93" i="7"/>
  <c r="D93" i="7"/>
  <c r="E91" i="7"/>
  <c r="AY91" i="7"/>
  <c r="BA91" i="7" s="1"/>
  <c r="AL91" i="7"/>
  <c r="AN91" i="7" s="1"/>
  <c r="AN90" i="7"/>
  <c r="D90" i="7"/>
  <c r="AX90" i="7"/>
  <c r="AX89" i="7"/>
  <c r="X89" i="7"/>
  <c r="AX88" i="7"/>
  <c r="H88" i="7"/>
  <c r="AX87" i="7"/>
  <c r="L87" i="7"/>
  <c r="AV86" i="7"/>
  <c r="AT91" i="7"/>
  <c r="AV91" i="7" s="1"/>
  <c r="AP91" i="7"/>
  <c r="AR91" i="7" s="1"/>
  <c r="AR86" i="7"/>
  <c r="AJ86" i="7"/>
  <c r="AH91" i="7"/>
  <c r="AJ91" i="7" s="1"/>
  <c r="AD91" i="7"/>
  <c r="AF91" i="7" s="1"/>
  <c r="AF86" i="7"/>
  <c r="Z91" i="7"/>
  <c r="AB91" i="7" s="1"/>
  <c r="AB86" i="7"/>
  <c r="V91" i="7"/>
  <c r="X91" i="7" s="1"/>
  <c r="X86" i="7"/>
  <c r="T86" i="7"/>
  <c r="R91" i="7"/>
  <c r="T91" i="7" s="1"/>
  <c r="L86" i="7"/>
  <c r="J91" i="7"/>
  <c r="L91" i="7" s="1"/>
  <c r="H86" i="7"/>
  <c r="F91" i="7"/>
  <c r="H91" i="7" s="1"/>
  <c r="B91" i="7"/>
  <c r="AX86" i="7"/>
  <c r="AX84" i="7"/>
  <c r="D84" i="7"/>
  <c r="AY83" i="7"/>
  <c r="BA83" i="7" s="1"/>
  <c r="E83" i="7"/>
  <c r="X82" i="7"/>
  <c r="AX82" i="7"/>
  <c r="AX81" i="7"/>
  <c r="H81" i="7"/>
  <c r="Z83" i="7"/>
  <c r="AB83" i="7" s="1"/>
  <c r="AB80" i="7"/>
  <c r="AX80" i="7"/>
  <c r="D80" i="7"/>
  <c r="AT83" i="7"/>
  <c r="AV83" i="7" s="1"/>
  <c r="AV79" i="7"/>
  <c r="AP83" i="7"/>
  <c r="AR83" i="7" s="1"/>
  <c r="AR79" i="7"/>
  <c r="AN79" i="7"/>
  <c r="AL83" i="7"/>
  <c r="AN83" i="7" s="1"/>
  <c r="AH83" i="7"/>
  <c r="AJ83" i="7" s="1"/>
  <c r="AJ79" i="7"/>
  <c r="X79" i="7"/>
  <c r="V83" i="7"/>
  <c r="X83" i="7" s="1"/>
  <c r="T79" i="7"/>
  <c r="R83" i="7"/>
  <c r="T83" i="7" s="1"/>
  <c r="P79" i="7"/>
  <c r="N83" i="7"/>
  <c r="P83" i="7" s="1"/>
  <c r="J83" i="7"/>
  <c r="L83" i="7" s="1"/>
  <c r="L79" i="7"/>
  <c r="H79" i="7"/>
  <c r="F83" i="7"/>
  <c r="H83" i="7" s="1"/>
  <c r="D79" i="7"/>
  <c r="AX79" i="7"/>
  <c r="B83" i="7"/>
  <c r="AX77" i="7"/>
  <c r="AZ77" i="7" s="1"/>
  <c r="AV77" i="7"/>
  <c r="AY76" i="7"/>
  <c r="BA76" i="7" s="1"/>
  <c r="E76" i="7"/>
  <c r="AT76" i="7"/>
  <c r="AV76" i="7" s="1"/>
  <c r="AV75" i="7"/>
  <c r="AP76" i="7"/>
  <c r="AR76" i="7" s="1"/>
  <c r="AR75" i="7"/>
  <c r="AN75" i="7"/>
  <c r="AL76" i="7"/>
  <c r="AN76" i="7" s="1"/>
  <c r="D75" i="7"/>
  <c r="AX75" i="7"/>
  <c r="AJ74" i="7"/>
  <c r="AH76" i="7"/>
  <c r="AJ76" i="7" s="1"/>
  <c r="AD76" i="7"/>
  <c r="AF76" i="7" s="1"/>
  <c r="AF74" i="7"/>
  <c r="Z76" i="7"/>
  <c r="AB76" i="7" s="1"/>
  <c r="AB74" i="7"/>
  <c r="V76" i="7"/>
  <c r="X76" i="7" s="1"/>
  <c r="X74" i="7"/>
  <c r="P74" i="7"/>
  <c r="N76" i="7"/>
  <c r="P76" i="7" s="1"/>
  <c r="L74" i="7"/>
  <c r="J76" i="7"/>
  <c r="L76" i="7" s="1"/>
  <c r="B76" i="7"/>
  <c r="D74" i="7"/>
  <c r="AX74" i="7"/>
  <c r="H72" i="7"/>
  <c r="AX72" i="7"/>
  <c r="D71" i="7"/>
  <c r="AX71" i="7"/>
  <c r="D70" i="7"/>
  <c r="AX70" i="7"/>
  <c r="AY69" i="7"/>
  <c r="BA69" i="7" s="1"/>
  <c r="E69" i="7"/>
  <c r="AJ68" i="7"/>
  <c r="AX68" i="7"/>
  <c r="P67" i="7"/>
  <c r="AX67" i="7"/>
  <c r="D66" i="7"/>
  <c r="AX66" i="7"/>
  <c r="AB65" i="7"/>
  <c r="Z69" i="7"/>
  <c r="AB69" i="7" s="1"/>
  <c r="P65" i="7"/>
  <c r="N69" i="7"/>
  <c r="P69" i="7" s="1"/>
  <c r="D65" i="7"/>
  <c r="AX65" i="7"/>
  <c r="D64" i="7"/>
  <c r="AX64" i="7"/>
  <c r="B69" i="7"/>
  <c r="AV63" i="7"/>
  <c r="AT69" i="7"/>
  <c r="AV69" i="7" s="1"/>
  <c r="AR63" i="7"/>
  <c r="AP69" i="7"/>
  <c r="AR69" i="7" s="1"/>
  <c r="X63" i="7"/>
  <c r="V69" i="7"/>
  <c r="X69" i="7" s="1"/>
  <c r="R69" i="7"/>
  <c r="T69" i="7" s="1"/>
  <c r="T63" i="7"/>
  <c r="L63" i="7"/>
  <c r="J69" i="7"/>
  <c r="L69" i="7" s="1"/>
  <c r="H63" i="7"/>
  <c r="F69" i="7"/>
  <c r="H69" i="7" s="1"/>
  <c r="AX63" i="7"/>
  <c r="AJ62" i="7"/>
  <c r="AH69" i="7"/>
  <c r="AJ69" i="7" s="1"/>
  <c r="AX62" i="7"/>
  <c r="AX60" i="7"/>
  <c r="AF60" i="7"/>
  <c r="D59" i="7"/>
  <c r="AX59" i="7"/>
  <c r="E58" i="7"/>
  <c r="AY58" i="7"/>
  <c r="BA58" i="7" s="1"/>
  <c r="AV57" i="7"/>
  <c r="AT58" i="7"/>
  <c r="AV58" i="7" s="1"/>
  <c r="T57" i="7"/>
  <c r="R58" i="7"/>
  <c r="T58" i="7" s="1"/>
  <c r="AX57" i="7"/>
  <c r="AH58" i="7"/>
  <c r="AJ58" i="7" s="1"/>
  <c r="AX56" i="7"/>
  <c r="AJ56" i="7"/>
  <c r="AP58" i="7"/>
  <c r="AR58" i="7" s="1"/>
  <c r="AR55" i="7"/>
  <c r="AL58" i="7"/>
  <c r="AN58" i="7" s="1"/>
  <c r="AN55" i="7"/>
  <c r="F58" i="7"/>
  <c r="H58" i="7" s="1"/>
  <c r="H55" i="7"/>
  <c r="B58" i="7"/>
  <c r="AX55" i="7"/>
  <c r="D55" i="7"/>
  <c r="AX53" i="7"/>
  <c r="AJ53" i="7"/>
  <c r="AX52" i="7"/>
  <c r="D52" i="7"/>
  <c r="AX50" i="7"/>
  <c r="D50" i="7"/>
  <c r="AY49" i="7"/>
  <c r="BA49" i="7" s="1"/>
  <c r="E49" i="7"/>
  <c r="D48" i="7"/>
  <c r="AX48" i="7"/>
  <c r="AX47" i="7"/>
  <c r="D47" i="7"/>
  <c r="AV46" i="7"/>
  <c r="AT49" i="7"/>
  <c r="AV49" i="7" s="1"/>
  <c r="AP49" i="7"/>
  <c r="AR49" i="7" s="1"/>
  <c r="AR46" i="7"/>
  <c r="AN46" i="7"/>
  <c r="AL49" i="7"/>
  <c r="AN49" i="7" s="1"/>
  <c r="AJ46" i="7"/>
  <c r="AH49" i="7"/>
  <c r="AJ49" i="7" s="1"/>
  <c r="AD49" i="7"/>
  <c r="AF49" i="7" s="1"/>
  <c r="AF46" i="7"/>
  <c r="Z49" i="7"/>
  <c r="AB49" i="7" s="1"/>
  <c r="AB46" i="7"/>
  <c r="X46" i="7"/>
  <c r="V49" i="7"/>
  <c r="X49" i="7" s="1"/>
  <c r="R49" i="7"/>
  <c r="T49" i="7" s="1"/>
  <c r="T46" i="7"/>
  <c r="N49" i="7"/>
  <c r="P49" i="7" s="1"/>
  <c r="P46" i="7"/>
  <c r="J49" i="7"/>
  <c r="L49" i="7" s="1"/>
  <c r="L46" i="7"/>
  <c r="F49" i="7"/>
  <c r="H49" i="7" s="1"/>
  <c r="H46" i="7"/>
  <c r="B49" i="7"/>
  <c r="AX46" i="7"/>
  <c r="D46" i="7"/>
  <c r="L44" i="7"/>
  <c r="AX44" i="7"/>
  <c r="AY43" i="7"/>
  <c r="BA43" i="7" s="1"/>
  <c r="E43" i="7"/>
  <c r="B43" i="7"/>
  <c r="AX42" i="7"/>
  <c r="D42" i="7"/>
  <c r="AQ51" i="7"/>
  <c r="AS51" i="7" s="1"/>
  <c r="AS40" i="7"/>
  <c r="AM51" i="7"/>
  <c r="AO51" i="7" s="1"/>
  <c r="AO40" i="7"/>
  <c r="AI51" i="7"/>
  <c r="AK51" i="7" s="1"/>
  <c r="AK40" i="7"/>
  <c r="AE51" i="7"/>
  <c r="AG51" i="7" s="1"/>
  <c r="AG40" i="7"/>
  <c r="AA51" i="7"/>
  <c r="AC51" i="7" s="1"/>
  <c r="AC40" i="7"/>
  <c r="W51" i="7"/>
  <c r="Y51" i="7" s="1"/>
  <c r="Y40" i="7"/>
  <c r="S51" i="7"/>
  <c r="U51" i="7" s="1"/>
  <c r="U40" i="7"/>
  <c r="O51" i="7"/>
  <c r="Q51" i="7" s="1"/>
  <c r="Q40" i="7"/>
  <c r="K51" i="7"/>
  <c r="M51" i="7" s="1"/>
  <c r="M40" i="7"/>
  <c r="G51" i="7"/>
  <c r="I51" i="7" s="1"/>
  <c r="I40" i="7"/>
  <c r="C51" i="7"/>
  <c r="AY40" i="7"/>
  <c r="BA40" i="7" s="1"/>
  <c r="E40" i="7"/>
  <c r="D39" i="7"/>
  <c r="AX39" i="7"/>
  <c r="AX38" i="7"/>
  <c r="D38" i="7"/>
  <c r="AX37" i="7"/>
  <c r="D37" i="7"/>
  <c r="AV36" i="7"/>
  <c r="AT40" i="7"/>
  <c r="AP40" i="7"/>
  <c r="AR36" i="7"/>
  <c r="AN36" i="7"/>
  <c r="AL40" i="7"/>
  <c r="AJ36" i="7"/>
  <c r="AH40" i="7"/>
  <c r="AD40" i="7"/>
  <c r="AF36" i="7"/>
  <c r="Z40" i="7"/>
  <c r="AB36" i="7"/>
  <c r="X36" i="7"/>
  <c r="V40" i="7"/>
  <c r="T36" i="7"/>
  <c r="R40" i="7"/>
  <c r="N40" i="7"/>
  <c r="P36" i="7"/>
  <c r="J40" i="7"/>
  <c r="L36" i="7"/>
  <c r="H36" i="7"/>
  <c r="F40" i="7"/>
  <c r="D36" i="7"/>
  <c r="B40" i="7"/>
  <c r="AX36" i="7"/>
  <c r="AX33" i="7"/>
  <c r="D33" i="7"/>
  <c r="L32" i="7"/>
  <c r="AX32" i="7"/>
  <c r="AX31" i="7"/>
  <c r="D31" i="7"/>
  <c r="AX30" i="7"/>
  <c r="AZ30" i="7" s="1"/>
  <c r="D30" i="7"/>
  <c r="E29" i="7"/>
  <c r="AY29" i="7"/>
  <c r="BA29" i="7" s="1"/>
  <c r="AN28" i="7"/>
  <c r="AL29" i="7"/>
  <c r="AN29" i="7" s="1"/>
  <c r="AJ28" i="7"/>
  <c r="AH29" i="7"/>
  <c r="AJ29" i="7" s="1"/>
  <c r="AD29" i="7"/>
  <c r="AF29" i="7" s="1"/>
  <c r="AF28" i="7"/>
  <c r="X28" i="7"/>
  <c r="V29" i="7"/>
  <c r="X29" i="7" s="1"/>
  <c r="R29" i="7"/>
  <c r="T29" i="7" s="1"/>
  <c r="T28" i="7"/>
  <c r="P28" i="7"/>
  <c r="N29" i="7"/>
  <c r="P29" i="7" s="1"/>
  <c r="J29" i="7"/>
  <c r="L29" i="7" s="1"/>
  <c r="L28" i="7"/>
  <c r="H28" i="7"/>
  <c r="F29" i="7"/>
  <c r="H29" i="7" s="1"/>
  <c r="B29" i="7"/>
  <c r="D28" i="7"/>
  <c r="AX28" i="7"/>
  <c r="AT29" i="7"/>
  <c r="AV29" i="7" s="1"/>
  <c r="AV27" i="7"/>
  <c r="AR27" i="7"/>
  <c r="AP29" i="7"/>
  <c r="AR29" i="7" s="1"/>
  <c r="AX27" i="7"/>
  <c r="D26" i="7"/>
  <c r="AX26" i="7"/>
  <c r="AZ26" i="7" s="1"/>
  <c r="AW25" i="7"/>
  <c r="AU98" i="7"/>
  <c r="AW98" i="7" s="1"/>
  <c r="AS25" i="7"/>
  <c r="AQ98" i="7"/>
  <c r="AS98" i="7" s="1"/>
  <c r="AO25" i="7"/>
  <c r="AM98" i="7"/>
  <c r="AO98" i="7" s="1"/>
  <c r="AK25" i="7"/>
  <c r="AI98" i="7"/>
  <c r="AK98" i="7" s="1"/>
  <c r="AG25" i="7"/>
  <c r="AE98" i="7"/>
  <c r="AG98" i="7" s="1"/>
  <c r="AC25" i="7"/>
  <c r="AA98" i="7"/>
  <c r="AC98" i="7" s="1"/>
  <c r="Y25" i="7"/>
  <c r="W98" i="7"/>
  <c r="Y98" i="7" s="1"/>
  <c r="S98" i="7"/>
  <c r="U98" i="7" s="1"/>
  <c r="U25" i="7"/>
  <c r="Q25" i="7"/>
  <c r="O98" i="7"/>
  <c r="Q98" i="7" s="1"/>
  <c r="M25" i="7"/>
  <c r="K98" i="7"/>
  <c r="M98" i="7" s="1"/>
  <c r="I25" i="7"/>
  <c r="G98" i="7"/>
  <c r="I98" i="7" s="1"/>
  <c r="E25" i="7"/>
  <c r="C98" i="7"/>
  <c r="AX24" i="7"/>
  <c r="AF24" i="7"/>
  <c r="AR23" i="7"/>
  <c r="AX23" i="7"/>
  <c r="AX22" i="7"/>
  <c r="AZ22" i="7" s="1"/>
  <c r="D22" i="7"/>
  <c r="AT25" i="7"/>
  <c r="AV21" i="7"/>
  <c r="AR21" i="7"/>
  <c r="AP25" i="7"/>
  <c r="AN21" i="7"/>
  <c r="AL25" i="7"/>
  <c r="AJ21" i="7"/>
  <c r="AH25" i="7"/>
  <c r="AF21" i="7"/>
  <c r="AD25" i="7"/>
  <c r="AB21" i="7"/>
  <c r="Z25" i="7"/>
  <c r="X21" i="7"/>
  <c r="V25" i="7"/>
  <c r="R25" i="7"/>
  <c r="T21" i="7"/>
  <c r="N25" i="7"/>
  <c r="P21" i="7"/>
  <c r="J25" i="7"/>
  <c r="L21" i="7"/>
  <c r="H21" i="7"/>
  <c r="F25" i="7"/>
  <c r="D21" i="7"/>
  <c r="B25" i="7"/>
  <c r="AX21" i="7"/>
  <c r="AZ21" i="7" s="1"/>
  <c r="W18" i="7"/>
  <c r="Y17" i="7"/>
  <c r="S18" i="7"/>
  <c r="U17" i="7"/>
  <c r="O18" i="7"/>
  <c r="Q17" i="7"/>
  <c r="K18" i="7"/>
  <c r="M17" i="7"/>
  <c r="I17" i="7"/>
  <c r="G18" i="7"/>
  <c r="C18" i="7"/>
  <c r="E17" i="7"/>
  <c r="D16" i="7"/>
  <c r="AX16" i="7"/>
  <c r="AX15" i="7"/>
  <c r="D15" i="7"/>
  <c r="D14" i="7"/>
  <c r="AX14" i="7"/>
  <c r="AX13" i="7"/>
  <c r="D13" i="7"/>
  <c r="AX12" i="7"/>
  <c r="D12" i="7"/>
  <c r="AY17" i="7"/>
  <c r="AU17" i="7"/>
  <c r="AW11" i="7"/>
  <c r="AT17" i="7"/>
  <c r="AV11" i="7"/>
  <c r="AQ17" i="7"/>
  <c r="AS11" i="7"/>
  <c r="AP17" i="7"/>
  <c r="AR11" i="7"/>
  <c r="AM17" i="7"/>
  <c r="AO11" i="7"/>
  <c r="AN11" i="7"/>
  <c r="AL17" i="7"/>
  <c r="AK11" i="7"/>
  <c r="AI17" i="7"/>
  <c r="AJ11" i="7"/>
  <c r="AH17" i="7"/>
  <c r="AG11" i="7"/>
  <c r="AE17" i="7"/>
  <c r="AF11" i="7"/>
  <c r="AD17" i="7"/>
  <c r="AC11" i="7"/>
  <c r="AA17" i="7"/>
  <c r="Z17" i="7"/>
  <c r="AB11" i="7"/>
  <c r="V11" i="7"/>
  <c r="X10" i="7"/>
  <c r="T10" i="7"/>
  <c r="R11" i="7"/>
  <c r="N11" i="7"/>
  <c r="P10" i="7"/>
  <c r="F11" i="7"/>
  <c r="H10" i="7"/>
  <c r="AX10" i="7"/>
  <c r="B11" i="7"/>
  <c r="D10" i="7"/>
  <c r="J11" i="7"/>
  <c r="AX9" i="7"/>
  <c r="L9" i="7"/>
  <c r="AY97" i="3"/>
  <c r="BA97" i="3" s="1"/>
  <c r="AU97" i="3"/>
  <c r="AW97" i="3" s="1"/>
  <c r="AS97" i="3"/>
  <c r="AQ97" i="3"/>
  <c r="AP97" i="3"/>
  <c r="AR97" i="3" s="1"/>
  <c r="AM97" i="3"/>
  <c r="AO97" i="3" s="1"/>
  <c r="AK97" i="3"/>
  <c r="AI97" i="3"/>
  <c r="AE97" i="3"/>
  <c r="AG97" i="3" s="1"/>
  <c r="AD97" i="3"/>
  <c r="AF97" i="3" s="1"/>
  <c r="AA97" i="3"/>
  <c r="AC97" i="3" s="1"/>
  <c r="Z97" i="3"/>
  <c r="AB97" i="3" s="1"/>
  <c r="Y97" i="3"/>
  <c r="W97" i="3"/>
  <c r="V97" i="3"/>
  <c r="X97" i="3" s="1"/>
  <c r="S97" i="3"/>
  <c r="U97" i="3" s="1"/>
  <c r="Q97" i="3"/>
  <c r="O97" i="3"/>
  <c r="K97" i="3"/>
  <c r="M97" i="3" s="1"/>
  <c r="J97" i="3"/>
  <c r="L97" i="3" s="1"/>
  <c r="G97" i="3"/>
  <c r="I97" i="3" s="1"/>
  <c r="E97" i="3"/>
  <c r="C97" i="3"/>
  <c r="AY96" i="3"/>
  <c r="BA96" i="3" s="1"/>
  <c r="AW96" i="3"/>
  <c r="AV96" i="3"/>
  <c r="AS96" i="3"/>
  <c r="AP96" i="3"/>
  <c r="AR96" i="3" s="1"/>
  <c r="AO96" i="3"/>
  <c r="AL96" i="3"/>
  <c r="AN96" i="3" s="1"/>
  <c r="AK96" i="3"/>
  <c r="AH96" i="3"/>
  <c r="AJ96" i="3" s="1"/>
  <c r="AG96" i="3"/>
  <c r="AF96" i="3"/>
  <c r="AD96" i="3"/>
  <c r="AC96" i="3"/>
  <c r="AB96" i="3"/>
  <c r="Z96" i="3"/>
  <c r="Y96" i="3"/>
  <c r="X96" i="3"/>
  <c r="V96" i="3"/>
  <c r="U96" i="3"/>
  <c r="T96" i="3"/>
  <c r="R96" i="3"/>
  <c r="Q96" i="3"/>
  <c r="N96" i="3"/>
  <c r="P96" i="3" s="1"/>
  <c r="M96" i="3"/>
  <c r="L96" i="3"/>
  <c r="J96" i="3"/>
  <c r="I96" i="3"/>
  <c r="F96" i="3"/>
  <c r="H96" i="3" s="1"/>
  <c r="E96" i="3"/>
  <c r="B96" i="3"/>
  <c r="BA95" i="3"/>
  <c r="AY95" i="3"/>
  <c r="AW95" i="3"/>
  <c r="AT95" i="3"/>
  <c r="AV95" i="3" s="1"/>
  <c r="AS95" i="3"/>
  <c r="AR95" i="3"/>
  <c r="AP95" i="3"/>
  <c r="AO95" i="3"/>
  <c r="AL95" i="3"/>
  <c r="AN95" i="3" s="1"/>
  <c r="AK95" i="3"/>
  <c r="AH95" i="3"/>
  <c r="AJ95" i="3" s="1"/>
  <c r="AG95" i="3"/>
  <c r="AF95" i="3"/>
  <c r="AD95" i="3"/>
  <c r="AC95" i="3"/>
  <c r="AB95" i="3"/>
  <c r="Z95" i="3"/>
  <c r="Y95" i="3"/>
  <c r="V95" i="3"/>
  <c r="X95" i="3" s="1"/>
  <c r="U95" i="3"/>
  <c r="T95" i="3"/>
  <c r="R95" i="3"/>
  <c r="Q95" i="3"/>
  <c r="N95" i="3"/>
  <c r="P95" i="3" s="1"/>
  <c r="M95" i="3"/>
  <c r="L95" i="3"/>
  <c r="I95" i="3"/>
  <c r="H95" i="3"/>
  <c r="F95" i="3"/>
  <c r="E95" i="3"/>
  <c r="D95" i="3"/>
  <c r="B95" i="3"/>
  <c r="BA94" i="3"/>
  <c r="AY94" i="3"/>
  <c r="AW94" i="3"/>
  <c r="AV94" i="3"/>
  <c r="AT94" i="3"/>
  <c r="AS94" i="3"/>
  <c r="AP94" i="3"/>
  <c r="AR94" i="3" s="1"/>
  <c r="AO94" i="3"/>
  <c r="AL94" i="3"/>
  <c r="AK94" i="3"/>
  <c r="AH94" i="3"/>
  <c r="AJ94" i="3" s="1"/>
  <c r="AG94" i="3"/>
  <c r="AF94" i="3"/>
  <c r="AD94" i="3"/>
  <c r="AC94" i="3"/>
  <c r="AB94" i="3"/>
  <c r="Y94" i="3"/>
  <c r="V94" i="3"/>
  <c r="X94" i="3" s="1"/>
  <c r="U94" i="3"/>
  <c r="T94" i="3"/>
  <c r="R94" i="3"/>
  <c r="Q94" i="3"/>
  <c r="N94" i="3"/>
  <c r="P94" i="3" s="1"/>
  <c r="M94" i="3"/>
  <c r="J94" i="3"/>
  <c r="L94" i="3" s="1"/>
  <c r="I94" i="3"/>
  <c r="F94" i="3"/>
  <c r="E94" i="3"/>
  <c r="D94" i="3"/>
  <c r="B94" i="3"/>
  <c r="AY93" i="3"/>
  <c r="BA93" i="3" s="1"/>
  <c r="AW93" i="3"/>
  <c r="AT93" i="3"/>
  <c r="AV93" i="3" s="1"/>
  <c r="AS93" i="3"/>
  <c r="AR93" i="3"/>
  <c r="AP93" i="3"/>
  <c r="AO93" i="3"/>
  <c r="AN93" i="3"/>
  <c r="AK93" i="3"/>
  <c r="AH93" i="3"/>
  <c r="AJ93" i="3" s="1"/>
  <c r="AG93" i="3"/>
  <c r="AF93" i="3"/>
  <c r="AD93" i="3"/>
  <c r="AC93" i="3"/>
  <c r="AB93" i="3"/>
  <c r="Y93" i="3"/>
  <c r="X93" i="3"/>
  <c r="V93" i="3"/>
  <c r="U93" i="3"/>
  <c r="T93" i="3"/>
  <c r="R93" i="3"/>
  <c r="R97" i="3" s="1"/>
  <c r="T97" i="3" s="1"/>
  <c r="Q93" i="3"/>
  <c r="P93" i="3"/>
  <c r="M93" i="3"/>
  <c r="J93" i="3"/>
  <c r="L93" i="3" s="1"/>
  <c r="I93" i="3"/>
  <c r="H93" i="3"/>
  <c r="F93" i="3"/>
  <c r="E93" i="3"/>
  <c r="B93" i="3"/>
  <c r="BA92" i="3"/>
  <c r="AZ92" i="3"/>
  <c r="AY92" i="3"/>
  <c r="AX92" i="3"/>
  <c r="AW92" i="3"/>
  <c r="AV92" i="3"/>
  <c r="AS92" i="3"/>
  <c r="AR92" i="3"/>
  <c r="AO92" i="3"/>
  <c r="AN92" i="3"/>
  <c r="AK92" i="3"/>
  <c r="AJ92" i="3"/>
  <c r="AG92" i="3"/>
  <c r="AF92" i="3"/>
  <c r="AC92" i="3"/>
  <c r="AB92" i="3"/>
  <c r="Y92" i="3"/>
  <c r="X92" i="3"/>
  <c r="U92" i="3"/>
  <c r="T92" i="3"/>
  <c r="Q92" i="3"/>
  <c r="P92" i="3"/>
  <c r="M92" i="3"/>
  <c r="L92" i="3"/>
  <c r="I92" i="3"/>
  <c r="H92" i="3"/>
  <c r="E92" i="3"/>
  <c r="D92" i="3"/>
  <c r="AU91" i="3"/>
  <c r="AW91" i="3" s="1"/>
  <c r="AS91" i="3"/>
  <c r="AR91" i="3"/>
  <c r="AQ91" i="3"/>
  <c r="AO91" i="3"/>
  <c r="AM91" i="3"/>
  <c r="AL91" i="3"/>
  <c r="AN91" i="3" s="1"/>
  <c r="AK91" i="3"/>
  <c r="AI91" i="3"/>
  <c r="AH91" i="3"/>
  <c r="AJ91" i="3" s="1"/>
  <c r="AG91" i="3"/>
  <c r="AF91" i="3"/>
  <c r="AE91" i="3"/>
  <c r="AA91" i="3"/>
  <c r="AC91" i="3" s="1"/>
  <c r="Y91" i="3"/>
  <c r="W91" i="3"/>
  <c r="U91" i="3"/>
  <c r="S91" i="3"/>
  <c r="R91" i="3"/>
  <c r="T91" i="3" s="1"/>
  <c r="Q91" i="3"/>
  <c r="O91" i="3"/>
  <c r="N91" i="3"/>
  <c r="P91" i="3" s="1"/>
  <c r="M91" i="3"/>
  <c r="K91" i="3"/>
  <c r="G91" i="3"/>
  <c r="I91" i="3" s="1"/>
  <c r="E91" i="3"/>
  <c r="D91" i="3"/>
  <c r="C91" i="3"/>
  <c r="B91" i="3"/>
  <c r="BA90" i="3"/>
  <c r="AY90" i="3"/>
  <c r="AW90" i="3"/>
  <c r="AV90" i="3"/>
  <c r="AT90" i="3"/>
  <c r="AS90" i="3"/>
  <c r="AP90" i="3"/>
  <c r="AR90" i="3" s="1"/>
  <c r="AO90" i="3"/>
  <c r="AN90" i="3"/>
  <c r="AL90" i="3"/>
  <c r="AK90" i="3"/>
  <c r="AJ90" i="3"/>
  <c r="AH90" i="3"/>
  <c r="AG90" i="3"/>
  <c r="AF90" i="3"/>
  <c r="AD90" i="3"/>
  <c r="AC90" i="3"/>
  <c r="Z90" i="3"/>
  <c r="AB90" i="3" s="1"/>
  <c r="Y90" i="3"/>
  <c r="V90" i="3"/>
  <c r="X90" i="3" s="1"/>
  <c r="U90" i="3"/>
  <c r="R90" i="3"/>
  <c r="T90" i="3" s="1"/>
  <c r="Q90" i="3"/>
  <c r="P90" i="3"/>
  <c r="N90" i="3"/>
  <c r="M90" i="3"/>
  <c r="J90" i="3"/>
  <c r="L90" i="3" s="1"/>
  <c r="I90" i="3"/>
  <c r="F90" i="3"/>
  <c r="H90" i="3" s="1"/>
  <c r="E90" i="3"/>
  <c r="B90" i="3"/>
  <c r="D90" i="3" s="1"/>
  <c r="BA89" i="3"/>
  <c r="AZ89" i="3"/>
  <c r="AY89" i="3"/>
  <c r="AX89" i="3"/>
  <c r="AW89" i="3"/>
  <c r="AV89" i="3"/>
  <c r="AS89" i="3"/>
  <c r="AR89" i="3"/>
  <c r="AO89" i="3"/>
  <c r="AN89" i="3"/>
  <c r="AK89" i="3"/>
  <c r="AJ89" i="3"/>
  <c r="AG89" i="3"/>
  <c r="AF89" i="3"/>
  <c r="AC89" i="3"/>
  <c r="AB89" i="3"/>
  <c r="Y89" i="3"/>
  <c r="X89" i="3"/>
  <c r="V89" i="3"/>
  <c r="U89" i="3"/>
  <c r="T89" i="3"/>
  <c r="Q89" i="3"/>
  <c r="P89" i="3"/>
  <c r="M89" i="3"/>
  <c r="L89" i="3"/>
  <c r="I89" i="3"/>
  <c r="H89" i="3"/>
  <c r="E89" i="3"/>
  <c r="D89" i="3"/>
  <c r="BA88" i="3"/>
  <c r="AY88" i="3"/>
  <c r="AW88" i="3"/>
  <c r="AV88" i="3"/>
  <c r="AS88" i="3"/>
  <c r="AR88" i="3"/>
  <c r="AO88" i="3"/>
  <c r="AN88" i="3"/>
  <c r="AK88" i="3"/>
  <c r="AJ88" i="3"/>
  <c r="AG88" i="3"/>
  <c r="AF88" i="3"/>
  <c r="AC88" i="3"/>
  <c r="AB88" i="3"/>
  <c r="Y88" i="3"/>
  <c r="X88" i="3"/>
  <c r="U88" i="3"/>
  <c r="T88" i="3"/>
  <c r="Q88" i="3"/>
  <c r="P88" i="3"/>
  <c r="M88" i="3"/>
  <c r="L88" i="3"/>
  <c r="I88" i="3"/>
  <c r="F88" i="3"/>
  <c r="E88" i="3"/>
  <c r="D88" i="3"/>
  <c r="AY87" i="3"/>
  <c r="BA87" i="3" s="1"/>
  <c r="AW87" i="3"/>
  <c r="AV87" i="3"/>
  <c r="AS87" i="3"/>
  <c r="AR87" i="3"/>
  <c r="AO87" i="3"/>
  <c r="AN87" i="3"/>
  <c r="AK87" i="3"/>
  <c r="AJ87" i="3"/>
  <c r="AH87" i="3"/>
  <c r="AG87" i="3"/>
  <c r="AF87" i="3"/>
  <c r="AC87" i="3"/>
  <c r="AB87" i="3"/>
  <c r="Z87" i="3"/>
  <c r="Z91" i="3" s="1"/>
  <c r="AB91" i="3" s="1"/>
  <c r="Y87" i="3"/>
  <c r="X87" i="3"/>
  <c r="V87" i="3"/>
  <c r="U87" i="3"/>
  <c r="T87" i="3"/>
  <c r="Q87" i="3"/>
  <c r="N87" i="3"/>
  <c r="P87" i="3" s="1"/>
  <c r="M87" i="3"/>
  <c r="L87" i="3"/>
  <c r="J87" i="3"/>
  <c r="I87" i="3"/>
  <c r="H87" i="3"/>
  <c r="E87" i="3"/>
  <c r="D87" i="3"/>
  <c r="AY86" i="3"/>
  <c r="BA86" i="3" s="1"/>
  <c r="AW86" i="3"/>
  <c r="AV86" i="3"/>
  <c r="AT86" i="3"/>
  <c r="AT91" i="3" s="1"/>
  <c r="AV91" i="3" s="1"/>
  <c r="AS86" i="3"/>
  <c r="AP86" i="3"/>
  <c r="AP91" i="3" s="1"/>
  <c r="AO86" i="3"/>
  <c r="AN86" i="3"/>
  <c r="AK86" i="3"/>
  <c r="AH86" i="3"/>
  <c r="AJ86" i="3" s="1"/>
  <c r="AG86" i="3"/>
  <c r="AF86" i="3"/>
  <c r="AD86" i="3"/>
  <c r="AD91" i="3" s="1"/>
  <c r="AC86" i="3"/>
  <c r="Z86" i="3"/>
  <c r="AB86" i="3" s="1"/>
  <c r="Y86" i="3"/>
  <c r="V86" i="3"/>
  <c r="X86" i="3" s="1"/>
  <c r="U86" i="3"/>
  <c r="R86" i="3"/>
  <c r="T86" i="3" s="1"/>
  <c r="Q86" i="3"/>
  <c r="P86" i="3"/>
  <c r="N86" i="3"/>
  <c r="M86" i="3"/>
  <c r="J86" i="3"/>
  <c r="I86" i="3"/>
  <c r="H86" i="3"/>
  <c r="F86" i="3"/>
  <c r="E86" i="3"/>
  <c r="B86" i="3"/>
  <c r="D86" i="3" s="1"/>
  <c r="AY85" i="3"/>
  <c r="BA85" i="3" s="1"/>
  <c r="AX85" i="3"/>
  <c r="AZ85" i="3" s="1"/>
  <c r="AW85" i="3"/>
  <c r="AV85" i="3"/>
  <c r="AS85" i="3"/>
  <c r="AR85" i="3"/>
  <c r="AO85" i="3"/>
  <c r="AN85" i="3"/>
  <c r="AK85" i="3"/>
  <c r="AJ85" i="3"/>
  <c r="AG85" i="3"/>
  <c r="AF85" i="3"/>
  <c r="AC85" i="3"/>
  <c r="AB85" i="3"/>
  <c r="Y85" i="3"/>
  <c r="X85" i="3"/>
  <c r="U85" i="3"/>
  <c r="T85" i="3"/>
  <c r="Q85" i="3"/>
  <c r="P85" i="3"/>
  <c r="M85" i="3"/>
  <c r="L85" i="3"/>
  <c r="I85" i="3"/>
  <c r="H85" i="3"/>
  <c r="E85" i="3"/>
  <c r="D85" i="3"/>
  <c r="AY84" i="3"/>
  <c r="BA84" i="3" s="1"/>
  <c r="AW84" i="3"/>
  <c r="AV84" i="3"/>
  <c r="AS84" i="3"/>
  <c r="AR84" i="3"/>
  <c r="AP84" i="3"/>
  <c r="AO84" i="3"/>
  <c r="AN84" i="3"/>
  <c r="AK84" i="3"/>
  <c r="AJ84" i="3"/>
  <c r="AG84" i="3"/>
  <c r="AD84" i="3"/>
  <c r="AF84" i="3" s="1"/>
  <c r="AC84" i="3"/>
  <c r="AB84" i="3"/>
  <c r="Y84" i="3"/>
  <c r="X84" i="3"/>
  <c r="V84" i="3"/>
  <c r="U84" i="3"/>
  <c r="R84" i="3"/>
  <c r="T84" i="3" s="1"/>
  <c r="Q84" i="3"/>
  <c r="N84" i="3"/>
  <c r="P84" i="3" s="1"/>
  <c r="M84" i="3"/>
  <c r="J84" i="3"/>
  <c r="I84" i="3"/>
  <c r="H84" i="3"/>
  <c r="F84" i="3"/>
  <c r="E84" i="3"/>
  <c r="B84" i="3"/>
  <c r="D84" i="3" s="1"/>
  <c r="AU83" i="3"/>
  <c r="AW83" i="3" s="1"/>
  <c r="AT83" i="3"/>
  <c r="AV83" i="3" s="1"/>
  <c r="AQ83" i="3"/>
  <c r="AS83" i="3" s="1"/>
  <c r="AM83" i="3"/>
  <c r="AO83" i="3" s="1"/>
  <c r="AL83" i="3"/>
  <c r="AN83" i="3" s="1"/>
  <c r="AI83" i="3"/>
  <c r="AK83" i="3" s="1"/>
  <c r="AE83" i="3"/>
  <c r="AG83" i="3" s="1"/>
  <c r="AA83" i="3"/>
  <c r="AC83" i="3" s="1"/>
  <c r="W83" i="3"/>
  <c r="Y83" i="3" s="1"/>
  <c r="S83" i="3"/>
  <c r="U83" i="3" s="1"/>
  <c r="O83" i="3"/>
  <c r="Q83" i="3" s="1"/>
  <c r="M83" i="3"/>
  <c r="K83" i="3"/>
  <c r="G83" i="3"/>
  <c r="I83" i="3" s="1"/>
  <c r="F83" i="3"/>
  <c r="H83" i="3" s="1"/>
  <c r="C83" i="3"/>
  <c r="AZ82" i="3"/>
  <c r="AY82" i="3"/>
  <c r="BA82" i="3" s="1"/>
  <c r="AW82" i="3"/>
  <c r="AV82" i="3"/>
  <c r="AT82" i="3"/>
  <c r="AS82" i="3"/>
  <c r="AR82" i="3"/>
  <c r="AO82" i="3"/>
  <c r="AL82" i="3"/>
  <c r="AN82" i="3" s="1"/>
  <c r="AK82" i="3"/>
  <c r="AH82" i="3"/>
  <c r="AH83" i="3" s="1"/>
  <c r="AJ83" i="3" s="1"/>
  <c r="AG82" i="3"/>
  <c r="AF82" i="3"/>
  <c r="AC82" i="3"/>
  <c r="Z82" i="3"/>
  <c r="AX82" i="3" s="1"/>
  <c r="Y82" i="3"/>
  <c r="X82" i="3"/>
  <c r="V82" i="3"/>
  <c r="U82" i="3"/>
  <c r="T82" i="3"/>
  <c r="Q82" i="3"/>
  <c r="P82" i="3"/>
  <c r="M82" i="3"/>
  <c r="L82" i="3"/>
  <c r="I82" i="3"/>
  <c r="H82" i="3"/>
  <c r="E82" i="3"/>
  <c r="D82" i="3"/>
  <c r="AY81" i="3"/>
  <c r="BA81" i="3" s="1"/>
  <c r="AW81" i="3"/>
  <c r="AV81" i="3"/>
  <c r="AS81" i="3"/>
  <c r="AP81" i="3"/>
  <c r="AR81" i="3" s="1"/>
  <c r="AO81" i="3"/>
  <c r="AN81" i="3"/>
  <c r="AK81" i="3"/>
  <c r="AJ81" i="3"/>
  <c r="AH81" i="3"/>
  <c r="AG81" i="3"/>
  <c r="AF81" i="3"/>
  <c r="AD81" i="3"/>
  <c r="AC81" i="3"/>
  <c r="AB81" i="3"/>
  <c r="Z81" i="3"/>
  <c r="Y81" i="3"/>
  <c r="X81" i="3"/>
  <c r="V81" i="3"/>
  <c r="U81" i="3"/>
  <c r="T81" i="3"/>
  <c r="R81" i="3"/>
  <c r="R83" i="3" s="1"/>
  <c r="T83" i="3" s="1"/>
  <c r="Q81" i="3"/>
  <c r="N81" i="3"/>
  <c r="P81" i="3" s="1"/>
  <c r="M81" i="3"/>
  <c r="L81" i="3"/>
  <c r="J81" i="3"/>
  <c r="I81" i="3"/>
  <c r="F81" i="3"/>
  <c r="E81" i="3"/>
  <c r="D81" i="3"/>
  <c r="BA80" i="3"/>
  <c r="AY80" i="3"/>
  <c r="AW80" i="3"/>
  <c r="AV80" i="3"/>
  <c r="AT80" i="3"/>
  <c r="AS80" i="3"/>
  <c r="AP80" i="3"/>
  <c r="AR80" i="3" s="1"/>
  <c r="AO80" i="3"/>
  <c r="AN80" i="3"/>
  <c r="AL80" i="3"/>
  <c r="AK80" i="3"/>
  <c r="AH80" i="3"/>
  <c r="AJ80" i="3" s="1"/>
  <c r="AG80" i="3"/>
  <c r="AD80" i="3"/>
  <c r="AF80" i="3" s="1"/>
  <c r="AC80" i="3"/>
  <c r="AB80" i="3"/>
  <c r="Z80" i="3"/>
  <c r="Y80" i="3"/>
  <c r="V80" i="3"/>
  <c r="X80" i="3" s="1"/>
  <c r="U80" i="3"/>
  <c r="R80" i="3"/>
  <c r="T80" i="3" s="1"/>
  <c r="Q80" i="3"/>
  <c r="P80" i="3"/>
  <c r="N80" i="3"/>
  <c r="M80" i="3"/>
  <c r="J80" i="3"/>
  <c r="I80" i="3"/>
  <c r="H80" i="3"/>
  <c r="F80" i="3"/>
  <c r="E80" i="3"/>
  <c r="B80" i="3"/>
  <c r="BA79" i="3"/>
  <c r="AY79" i="3"/>
  <c r="AW79" i="3"/>
  <c r="AV79" i="3"/>
  <c r="AT79" i="3"/>
  <c r="AS79" i="3"/>
  <c r="AP79" i="3"/>
  <c r="AR79" i="3" s="1"/>
  <c r="AO79" i="3"/>
  <c r="AN79" i="3"/>
  <c r="AL79" i="3"/>
  <c r="AK79" i="3"/>
  <c r="AH79" i="3"/>
  <c r="AJ79" i="3" s="1"/>
  <c r="AG79" i="3"/>
  <c r="AD79" i="3"/>
  <c r="AC79" i="3"/>
  <c r="AB79" i="3"/>
  <c r="Y79" i="3"/>
  <c r="V79" i="3"/>
  <c r="U79" i="3"/>
  <c r="T79" i="3"/>
  <c r="R79" i="3"/>
  <c r="Q79" i="3"/>
  <c r="N79" i="3"/>
  <c r="M79" i="3"/>
  <c r="L79" i="3"/>
  <c r="J79" i="3"/>
  <c r="I79" i="3"/>
  <c r="F79" i="3"/>
  <c r="H79" i="3" s="1"/>
  <c r="E79" i="3"/>
  <c r="B79" i="3"/>
  <c r="AY78" i="3"/>
  <c r="AZ78" i="3" s="1"/>
  <c r="AX78" i="3"/>
  <c r="AW78" i="3"/>
  <c r="AV78" i="3"/>
  <c r="AS78" i="3"/>
  <c r="AR78" i="3"/>
  <c r="AO78" i="3"/>
  <c r="AN78" i="3"/>
  <c r="AK78" i="3"/>
  <c r="AJ78" i="3"/>
  <c r="AG78" i="3"/>
  <c r="AF78" i="3"/>
  <c r="AC78" i="3"/>
  <c r="AB78" i="3"/>
  <c r="Y78" i="3"/>
  <c r="X78" i="3"/>
  <c r="U78" i="3"/>
  <c r="T78" i="3"/>
  <c r="Q78" i="3"/>
  <c r="P78" i="3"/>
  <c r="M78" i="3"/>
  <c r="L78" i="3"/>
  <c r="I78" i="3"/>
  <c r="H78" i="3"/>
  <c r="E78" i="3"/>
  <c r="D78" i="3"/>
  <c r="AY77" i="3"/>
  <c r="BA77" i="3" s="1"/>
  <c r="AW77" i="3"/>
  <c r="AT77" i="3"/>
  <c r="AS77" i="3"/>
  <c r="AR77" i="3"/>
  <c r="AO77" i="3"/>
  <c r="AN77" i="3"/>
  <c r="AK77" i="3"/>
  <c r="AJ77" i="3"/>
  <c r="AG77" i="3"/>
  <c r="AF77" i="3"/>
  <c r="AC77" i="3"/>
  <c r="AB77" i="3"/>
  <c r="Y77" i="3"/>
  <c r="X77" i="3"/>
  <c r="U77" i="3"/>
  <c r="T77" i="3"/>
  <c r="Q77" i="3"/>
  <c r="P77" i="3"/>
  <c r="M77" i="3"/>
  <c r="L77" i="3"/>
  <c r="I77" i="3"/>
  <c r="H77" i="3"/>
  <c r="E77" i="3"/>
  <c r="D77" i="3"/>
  <c r="AY76" i="3"/>
  <c r="BA76" i="3" s="1"/>
  <c r="AW76" i="3"/>
  <c r="AU76" i="3"/>
  <c r="AT76" i="3"/>
  <c r="AV76" i="3" s="1"/>
  <c r="AS76" i="3"/>
  <c r="AR76" i="3"/>
  <c r="AQ76" i="3"/>
  <c r="AP76" i="3"/>
  <c r="AO76" i="3"/>
  <c r="AN76" i="3"/>
  <c r="AM76" i="3"/>
  <c r="AK76" i="3"/>
  <c r="AI76" i="3"/>
  <c r="AE76" i="3"/>
  <c r="AG76" i="3" s="1"/>
  <c r="AD76" i="3"/>
  <c r="AF76" i="3" s="1"/>
  <c r="AC76" i="3"/>
  <c r="AA76" i="3"/>
  <c r="Y76" i="3"/>
  <c r="W76" i="3"/>
  <c r="V76" i="3"/>
  <c r="X76" i="3" s="1"/>
  <c r="U76" i="3"/>
  <c r="T76" i="3"/>
  <c r="S76" i="3"/>
  <c r="R76" i="3"/>
  <c r="Q76" i="3"/>
  <c r="O76" i="3"/>
  <c r="K76" i="3"/>
  <c r="M76" i="3" s="1"/>
  <c r="J76" i="3"/>
  <c r="L76" i="3" s="1"/>
  <c r="I76" i="3"/>
  <c r="H76" i="3"/>
  <c r="G76" i="3"/>
  <c r="F76" i="3"/>
  <c r="E76" i="3"/>
  <c r="C76" i="3"/>
  <c r="BA75" i="3"/>
  <c r="AY75" i="3"/>
  <c r="AW75" i="3"/>
  <c r="AV75" i="3"/>
  <c r="AT75" i="3"/>
  <c r="AS75" i="3"/>
  <c r="AP75" i="3"/>
  <c r="AR75" i="3" s="1"/>
  <c r="AO75" i="3"/>
  <c r="AL75" i="3"/>
  <c r="AL76" i="3" s="1"/>
  <c r="AK75" i="3"/>
  <c r="AH75" i="3"/>
  <c r="AJ75" i="3" s="1"/>
  <c r="AG75" i="3"/>
  <c r="AF75" i="3"/>
  <c r="AD75" i="3"/>
  <c r="AC75" i="3"/>
  <c r="Z75" i="3"/>
  <c r="Z76" i="3" s="1"/>
  <c r="AB76" i="3" s="1"/>
  <c r="Y75" i="3"/>
  <c r="X75" i="3"/>
  <c r="V75" i="3"/>
  <c r="U75" i="3"/>
  <c r="R75" i="3"/>
  <c r="T75" i="3" s="1"/>
  <c r="Q75" i="3"/>
  <c r="N75" i="3"/>
  <c r="M75" i="3"/>
  <c r="J75" i="3"/>
  <c r="L75" i="3" s="1"/>
  <c r="I75" i="3"/>
  <c r="H75" i="3"/>
  <c r="F75" i="3"/>
  <c r="E75" i="3"/>
  <c r="B75" i="3"/>
  <c r="BA74" i="3"/>
  <c r="AY74" i="3"/>
  <c r="AW74" i="3"/>
  <c r="AV74" i="3"/>
  <c r="AS74" i="3"/>
  <c r="AR74" i="3"/>
  <c r="AO74" i="3"/>
  <c r="AN74" i="3"/>
  <c r="AK74" i="3"/>
  <c r="AH74" i="3"/>
  <c r="AH76" i="3" s="1"/>
  <c r="AJ76" i="3" s="1"/>
  <c r="AG74" i="3"/>
  <c r="AD74" i="3"/>
  <c r="AF74" i="3" s="1"/>
  <c r="AC74" i="3"/>
  <c r="AB74" i="3"/>
  <c r="Z74" i="3"/>
  <c r="Y74" i="3"/>
  <c r="X74" i="3"/>
  <c r="V74" i="3"/>
  <c r="U74" i="3"/>
  <c r="T74" i="3"/>
  <c r="Q74" i="3"/>
  <c r="P74" i="3"/>
  <c r="N74" i="3"/>
  <c r="M74" i="3"/>
  <c r="J74" i="3"/>
  <c r="L74" i="3" s="1"/>
  <c r="I74" i="3"/>
  <c r="H74" i="3"/>
  <c r="E74" i="3"/>
  <c r="D74" i="3"/>
  <c r="B74" i="3"/>
  <c r="AZ73" i="3"/>
  <c r="AY73" i="3"/>
  <c r="BA73" i="3" s="1"/>
  <c r="AX73" i="3"/>
  <c r="AW73" i="3"/>
  <c r="AV73" i="3"/>
  <c r="AS73" i="3"/>
  <c r="AR73" i="3"/>
  <c r="AO73" i="3"/>
  <c r="AN73" i="3"/>
  <c r="AK73" i="3"/>
  <c r="AJ73" i="3"/>
  <c r="AG73" i="3"/>
  <c r="AF73" i="3"/>
  <c r="AC73" i="3"/>
  <c r="AB73" i="3"/>
  <c r="Y73" i="3"/>
  <c r="X73" i="3"/>
  <c r="U73" i="3"/>
  <c r="T73" i="3"/>
  <c r="Q73" i="3"/>
  <c r="P73" i="3"/>
  <c r="M73" i="3"/>
  <c r="L73" i="3"/>
  <c r="I73" i="3"/>
  <c r="H73" i="3"/>
  <c r="E73" i="3"/>
  <c r="D73" i="3"/>
  <c r="AY72" i="3"/>
  <c r="BA72" i="3" s="1"/>
  <c r="AW72" i="3"/>
  <c r="AT72" i="3"/>
  <c r="AV72" i="3" s="1"/>
  <c r="AS72" i="3"/>
  <c r="AR72" i="3"/>
  <c r="AO72" i="3"/>
  <c r="AN72" i="3"/>
  <c r="AK72" i="3"/>
  <c r="AJ72" i="3"/>
  <c r="AG72" i="3"/>
  <c r="AF72" i="3"/>
  <c r="AD72" i="3"/>
  <c r="AC72" i="3"/>
  <c r="AB72" i="3"/>
  <c r="Y72" i="3"/>
  <c r="X72" i="3"/>
  <c r="U72" i="3"/>
  <c r="T72" i="3"/>
  <c r="Q72" i="3"/>
  <c r="P72" i="3"/>
  <c r="M72" i="3"/>
  <c r="J72" i="3"/>
  <c r="L72" i="3" s="1"/>
  <c r="I72" i="3"/>
  <c r="F72" i="3"/>
  <c r="AX72" i="3" s="1"/>
  <c r="AZ72" i="3" s="1"/>
  <c r="E72" i="3"/>
  <c r="D72" i="3"/>
  <c r="AY71" i="3"/>
  <c r="BA71" i="3" s="1"/>
  <c r="AW71" i="3"/>
  <c r="AV71" i="3"/>
  <c r="AS71" i="3"/>
  <c r="AR71" i="3"/>
  <c r="AO71" i="3"/>
  <c r="AL71" i="3"/>
  <c r="AN71" i="3" s="1"/>
  <c r="AK71" i="3"/>
  <c r="AJ71" i="3"/>
  <c r="AH71" i="3"/>
  <c r="AG71" i="3"/>
  <c r="AF71" i="3"/>
  <c r="AC71" i="3"/>
  <c r="Z71" i="3"/>
  <c r="AB71" i="3" s="1"/>
  <c r="Y71" i="3"/>
  <c r="V71" i="3"/>
  <c r="X71" i="3" s="1"/>
  <c r="U71" i="3"/>
  <c r="R71" i="3"/>
  <c r="T71" i="3" s="1"/>
  <c r="Q71" i="3"/>
  <c r="P71" i="3"/>
  <c r="N71" i="3"/>
  <c r="M71" i="3"/>
  <c r="J71" i="3"/>
  <c r="L71" i="3" s="1"/>
  <c r="I71" i="3"/>
  <c r="H71" i="3"/>
  <c r="F71" i="3"/>
  <c r="E71" i="3"/>
  <c r="B71" i="3"/>
  <c r="BA70" i="3"/>
  <c r="AY70" i="3"/>
  <c r="AW70" i="3"/>
  <c r="AV70" i="3"/>
  <c r="AT70" i="3"/>
  <c r="AS70" i="3"/>
  <c r="AP70" i="3"/>
  <c r="AR70" i="3" s="1"/>
  <c r="AO70" i="3"/>
  <c r="AN70" i="3"/>
  <c r="AL70" i="3"/>
  <c r="AK70" i="3"/>
  <c r="AH70" i="3"/>
  <c r="AJ70" i="3" s="1"/>
  <c r="AG70" i="3"/>
  <c r="AD70" i="3"/>
  <c r="AF70" i="3" s="1"/>
  <c r="AC70" i="3"/>
  <c r="Z70" i="3"/>
  <c r="AB70" i="3" s="1"/>
  <c r="Y70" i="3"/>
  <c r="V70" i="3"/>
  <c r="X70" i="3" s="1"/>
  <c r="U70" i="3"/>
  <c r="R70" i="3"/>
  <c r="T70" i="3" s="1"/>
  <c r="Q70" i="3"/>
  <c r="P70" i="3"/>
  <c r="N70" i="3"/>
  <c r="M70" i="3"/>
  <c r="J70" i="3"/>
  <c r="L70" i="3" s="1"/>
  <c r="I70" i="3"/>
  <c r="H70" i="3"/>
  <c r="F70" i="3"/>
  <c r="E70" i="3"/>
  <c r="D70" i="3"/>
  <c r="B70" i="3"/>
  <c r="AW69" i="3"/>
  <c r="AU69" i="3"/>
  <c r="AS69" i="3"/>
  <c r="AQ69" i="3"/>
  <c r="AO69" i="3"/>
  <c r="AM69" i="3"/>
  <c r="AI69" i="3"/>
  <c r="AK69" i="3" s="1"/>
  <c r="AG69" i="3"/>
  <c r="AE69" i="3"/>
  <c r="AC69" i="3"/>
  <c r="AA69" i="3"/>
  <c r="Z69" i="3"/>
  <c r="AB69" i="3" s="1"/>
  <c r="Y69" i="3"/>
  <c r="W69" i="3"/>
  <c r="V69" i="3"/>
  <c r="X69" i="3" s="1"/>
  <c r="U69" i="3"/>
  <c r="S69" i="3"/>
  <c r="O69" i="3"/>
  <c r="Q69" i="3" s="1"/>
  <c r="N69" i="3"/>
  <c r="P69" i="3" s="1"/>
  <c r="M69" i="3"/>
  <c r="K69" i="3"/>
  <c r="I69" i="3"/>
  <c r="G69" i="3"/>
  <c r="AY69" i="3" s="1"/>
  <c r="BA69" i="3" s="1"/>
  <c r="F69" i="3"/>
  <c r="H69" i="3" s="1"/>
  <c r="E69" i="3"/>
  <c r="C69" i="3"/>
  <c r="BA68" i="3"/>
  <c r="AZ68" i="3"/>
  <c r="AY68" i="3"/>
  <c r="AW68" i="3"/>
  <c r="AV68" i="3"/>
  <c r="AS68" i="3"/>
  <c r="AR68" i="3"/>
  <c r="AO68" i="3"/>
  <c r="AN68" i="3"/>
  <c r="AK68" i="3"/>
  <c r="AJ68" i="3"/>
  <c r="AH68" i="3"/>
  <c r="AX68" i="3" s="1"/>
  <c r="AG68" i="3"/>
  <c r="AF68" i="3"/>
  <c r="AC68" i="3"/>
  <c r="AB68" i="3"/>
  <c r="Y68" i="3"/>
  <c r="X68" i="3"/>
  <c r="U68" i="3"/>
  <c r="T68" i="3"/>
  <c r="Q68" i="3"/>
  <c r="P68" i="3"/>
  <c r="M68" i="3"/>
  <c r="L68" i="3"/>
  <c r="I68" i="3"/>
  <c r="H68" i="3"/>
  <c r="E68" i="3"/>
  <c r="D68" i="3"/>
  <c r="BA67" i="3"/>
  <c r="AY67" i="3"/>
  <c r="AW67" i="3"/>
  <c r="AT67" i="3"/>
  <c r="AV67" i="3" s="1"/>
  <c r="AS67" i="3"/>
  <c r="AR67" i="3"/>
  <c r="AO67" i="3"/>
  <c r="AN67" i="3"/>
  <c r="AL67" i="3"/>
  <c r="AK67" i="3"/>
  <c r="AJ67" i="3"/>
  <c r="AG67" i="3"/>
  <c r="AF67" i="3"/>
  <c r="AC67" i="3"/>
  <c r="AB67" i="3"/>
  <c r="Y67" i="3"/>
  <c r="X67" i="3"/>
  <c r="V67" i="3"/>
  <c r="AX67" i="3" s="1"/>
  <c r="AZ67" i="3" s="1"/>
  <c r="U67" i="3"/>
  <c r="T67" i="3"/>
  <c r="R67" i="3"/>
  <c r="Q67" i="3"/>
  <c r="N67" i="3"/>
  <c r="P67" i="3" s="1"/>
  <c r="M67" i="3"/>
  <c r="L67" i="3"/>
  <c r="I67" i="3"/>
  <c r="H67" i="3"/>
  <c r="E67" i="3"/>
  <c r="D67" i="3"/>
  <c r="AY66" i="3"/>
  <c r="BA66" i="3" s="1"/>
  <c r="AW66" i="3"/>
  <c r="AV66" i="3"/>
  <c r="AT66" i="3"/>
  <c r="AS66" i="3"/>
  <c r="AP66" i="3"/>
  <c r="AR66" i="3" s="1"/>
  <c r="AO66" i="3"/>
  <c r="AN66" i="3"/>
  <c r="AK66" i="3"/>
  <c r="AJ66" i="3"/>
  <c r="AH66" i="3"/>
  <c r="AG66" i="3"/>
  <c r="AF66" i="3"/>
  <c r="AC66" i="3"/>
  <c r="AB66" i="3"/>
  <c r="Y66" i="3"/>
  <c r="V66" i="3"/>
  <c r="X66" i="3" s="1"/>
  <c r="U66" i="3"/>
  <c r="T66" i="3"/>
  <c r="Q66" i="3"/>
  <c r="N66" i="3"/>
  <c r="P66" i="3" s="1"/>
  <c r="M66" i="3"/>
  <c r="L66" i="3"/>
  <c r="I66" i="3"/>
  <c r="H66" i="3"/>
  <c r="E66" i="3"/>
  <c r="B66" i="3"/>
  <c r="BA65" i="3"/>
  <c r="AY65" i="3"/>
  <c r="AW65" i="3"/>
  <c r="AV65" i="3"/>
  <c r="AT65" i="3"/>
  <c r="AS65" i="3"/>
  <c r="AP65" i="3"/>
  <c r="AR65" i="3" s="1"/>
  <c r="AO65" i="3"/>
  <c r="AN65" i="3"/>
  <c r="AL65" i="3"/>
  <c r="AK65" i="3"/>
  <c r="AJ65" i="3"/>
  <c r="AG65" i="3"/>
  <c r="AD65" i="3"/>
  <c r="AD69" i="3" s="1"/>
  <c r="AF69" i="3" s="1"/>
  <c r="AC65" i="3"/>
  <c r="Z65" i="3"/>
  <c r="AB65" i="3" s="1"/>
  <c r="Y65" i="3"/>
  <c r="V65" i="3"/>
  <c r="X65" i="3" s="1"/>
  <c r="U65" i="3"/>
  <c r="T65" i="3"/>
  <c r="Q65" i="3"/>
  <c r="P65" i="3"/>
  <c r="N65" i="3"/>
  <c r="M65" i="3"/>
  <c r="J65" i="3"/>
  <c r="L65" i="3" s="1"/>
  <c r="I65" i="3"/>
  <c r="H65" i="3"/>
  <c r="F65" i="3"/>
  <c r="E65" i="3"/>
  <c r="D65" i="3"/>
  <c r="B65" i="3"/>
  <c r="BA64" i="3"/>
  <c r="AY64" i="3"/>
  <c r="AX64" i="3"/>
  <c r="AZ64" i="3" s="1"/>
  <c r="AW64" i="3"/>
  <c r="AV64" i="3"/>
  <c r="AS64" i="3"/>
  <c r="AR64" i="3"/>
  <c r="AO64" i="3"/>
  <c r="AN64" i="3"/>
  <c r="AK64" i="3"/>
  <c r="AJ64" i="3"/>
  <c r="AG64" i="3"/>
  <c r="AF64" i="3"/>
  <c r="AC64" i="3"/>
  <c r="AB64" i="3"/>
  <c r="Y64" i="3"/>
  <c r="V64" i="3"/>
  <c r="X64" i="3" s="1"/>
  <c r="U64" i="3"/>
  <c r="T64" i="3"/>
  <c r="R64" i="3"/>
  <c r="Q64" i="3"/>
  <c r="P64" i="3"/>
  <c r="M64" i="3"/>
  <c r="L64" i="3"/>
  <c r="I64" i="3"/>
  <c r="H64" i="3"/>
  <c r="F64" i="3"/>
  <c r="E64" i="3"/>
  <c r="B64" i="3"/>
  <c r="D64" i="3" s="1"/>
  <c r="BA63" i="3"/>
  <c r="AY63" i="3"/>
  <c r="AX63" i="3"/>
  <c r="AZ63" i="3" s="1"/>
  <c r="AW63" i="3"/>
  <c r="AT63" i="3"/>
  <c r="AS63" i="3"/>
  <c r="AP63" i="3"/>
  <c r="AR63" i="3" s="1"/>
  <c r="AO63" i="3"/>
  <c r="AN63" i="3"/>
  <c r="AL63" i="3"/>
  <c r="AL69" i="3" s="1"/>
  <c r="AN69" i="3" s="1"/>
  <c r="AK63" i="3"/>
  <c r="AH63" i="3"/>
  <c r="AJ63" i="3" s="1"/>
  <c r="AG63" i="3"/>
  <c r="AF63" i="3"/>
  <c r="AD63" i="3"/>
  <c r="AC63" i="3"/>
  <c r="AB63" i="3"/>
  <c r="Y63" i="3"/>
  <c r="V63" i="3"/>
  <c r="X63" i="3" s="1"/>
  <c r="U63" i="3"/>
  <c r="R63" i="3"/>
  <c r="Q63" i="3"/>
  <c r="P63" i="3"/>
  <c r="M63" i="3"/>
  <c r="J63" i="3"/>
  <c r="J69" i="3" s="1"/>
  <c r="L69" i="3" s="1"/>
  <c r="I63" i="3"/>
  <c r="H63" i="3"/>
  <c r="F63" i="3"/>
  <c r="E63" i="3"/>
  <c r="D63" i="3"/>
  <c r="AY62" i="3"/>
  <c r="BA62" i="3" s="1"/>
  <c r="AW62" i="3"/>
  <c r="AV62" i="3"/>
  <c r="AS62" i="3"/>
  <c r="AR62" i="3"/>
  <c r="AO62" i="3"/>
  <c r="AN62" i="3"/>
  <c r="AK62" i="3"/>
  <c r="AH62" i="3"/>
  <c r="AG62" i="3"/>
  <c r="AF62" i="3"/>
  <c r="AC62" i="3"/>
  <c r="AB62" i="3"/>
  <c r="Y62" i="3"/>
  <c r="X62" i="3"/>
  <c r="U62" i="3"/>
  <c r="T62" i="3"/>
  <c r="Q62" i="3"/>
  <c r="P62" i="3"/>
  <c r="M62" i="3"/>
  <c r="L62" i="3"/>
  <c r="I62" i="3"/>
  <c r="H62" i="3"/>
  <c r="E62" i="3"/>
  <c r="D62" i="3"/>
  <c r="BA61" i="3"/>
  <c r="AY61" i="3"/>
  <c r="AX61" i="3"/>
  <c r="AZ61" i="3" s="1"/>
  <c r="AW61" i="3"/>
  <c r="AV61" i="3"/>
  <c r="AS61" i="3"/>
  <c r="AR61" i="3"/>
  <c r="AO61" i="3"/>
  <c r="AN61" i="3"/>
  <c r="AK61" i="3"/>
  <c r="AJ61" i="3"/>
  <c r="AG61" i="3"/>
  <c r="AF61" i="3"/>
  <c r="AC61" i="3"/>
  <c r="AB61" i="3"/>
  <c r="Y61" i="3"/>
  <c r="X61" i="3"/>
  <c r="U61" i="3"/>
  <c r="T61" i="3"/>
  <c r="Q61" i="3"/>
  <c r="P61" i="3"/>
  <c r="M61" i="3"/>
  <c r="L61" i="3"/>
  <c r="I61" i="3"/>
  <c r="H61" i="3"/>
  <c r="E61" i="3"/>
  <c r="D61" i="3"/>
  <c r="BA60" i="3"/>
  <c r="AY60" i="3"/>
  <c r="AW60" i="3"/>
  <c r="AV60" i="3"/>
  <c r="AS60" i="3"/>
  <c r="AR60" i="3"/>
  <c r="AP60" i="3"/>
  <c r="AO60" i="3"/>
  <c r="AL60" i="3"/>
  <c r="AN60" i="3" s="1"/>
  <c r="AK60" i="3"/>
  <c r="AJ60" i="3"/>
  <c r="AG60" i="3"/>
  <c r="AD60" i="3"/>
  <c r="AF60" i="3" s="1"/>
  <c r="AC60" i="3"/>
  <c r="Z60" i="3"/>
  <c r="AB60" i="3" s="1"/>
  <c r="Y60" i="3"/>
  <c r="X60" i="3"/>
  <c r="U60" i="3"/>
  <c r="T60" i="3"/>
  <c r="Q60" i="3"/>
  <c r="P60" i="3"/>
  <c r="N60" i="3"/>
  <c r="M60" i="3"/>
  <c r="J60" i="3"/>
  <c r="L60" i="3" s="1"/>
  <c r="I60" i="3"/>
  <c r="F60" i="3"/>
  <c r="E60" i="3"/>
  <c r="D60" i="3"/>
  <c r="BA59" i="3"/>
  <c r="AY59" i="3"/>
  <c r="AW59" i="3"/>
  <c r="AT59" i="3"/>
  <c r="AV59" i="3" s="1"/>
  <c r="AS59" i="3"/>
  <c r="AR59" i="3"/>
  <c r="AO59" i="3"/>
  <c r="AL59" i="3"/>
  <c r="AN59" i="3" s="1"/>
  <c r="AK59" i="3"/>
  <c r="AH59" i="3"/>
  <c r="AJ59" i="3" s="1"/>
  <c r="AG59" i="3"/>
  <c r="AF59" i="3"/>
  <c r="AC59" i="3"/>
  <c r="Z59" i="3"/>
  <c r="AB59" i="3" s="1"/>
  <c r="Y59" i="3"/>
  <c r="V59" i="3"/>
  <c r="X59" i="3" s="1"/>
  <c r="U59" i="3"/>
  <c r="T59" i="3"/>
  <c r="R59" i="3"/>
  <c r="Q59" i="3"/>
  <c r="N59" i="3"/>
  <c r="P59" i="3" s="1"/>
  <c r="M59" i="3"/>
  <c r="L59" i="3"/>
  <c r="J59" i="3"/>
  <c r="I59" i="3"/>
  <c r="H59" i="3"/>
  <c r="F59" i="3"/>
  <c r="E59" i="3"/>
  <c r="B59" i="3"/>
  <c r="AU58" i="3"/>
  <c r="AW58" i="3" s="1"/>
  <c r="AS58" i="3"/>
  <c r="AQ58" i="3"/>
  <c r="AM58" i="3"/>
  <c r="AO58" i="3" s="1"/>
  <c r="AK58" i="3"/>
  <c r="AI58" i="3"/>
  <c r="AH58" i="3"/>
  <c r="AJ58" i="3" s="1"/>
  <c r="AG58" i="3"/>
  <c r="AE58" i="3"/>
  <c r="AD58" i="3"/>
  <c r="AF58" i="3" s="1"/>
  <c r="AC58" i="3"/>
  <c r="AA58" i="3"/>
  <c r="Z58" i="3"/>
  <c r="AB58" i="3" s="1"/>
  <c r="Y58" i="3"/>
  <c r="W58" i="3"/>
  <c r="V58" i="3"/>
  <c r="X58" i="3" s="1"/>
  <c r="U58" i="3"/>
  <c r="S58" i="3"/>
  <c r="R58" i="3"/>
  <c r="T58" i="3" s="1"/>
  <c r="O58" i="3"/>
  <c r="Q58" i="3" s="1"/>
  <c r="N58" i="3"/>
  <c r="P58" i="3" s="1"/>
  <c r="M58" i="3"/>
  <c r="K58" i="3"/>
  <c r="J58" i="3"/>
  <c r="L58" i="3" s="1"/>
  <c r="G58" i="3"/>
  <c r="I58" i="3" s="1"/>
  <c r="E58" i="3"/>
  <c r="C58" i="3"/>
  <c r="AY57" i="3"/>
  <c r="BA57" i="3" s="1"/>
  <c r="AW57" i="3"/>
  <c r="AT57" i="3"/>
  <c r="AS57" i="3"/>
  <c r="AR57" i="3"/>
  <c r="AO57" i="3"/>
  <c r="AL57" i="3"/>
  <c r="AN57" i="3" s="1"/>
  <c r="AK57" i="3"/>
  <c r="AJ57" i="3"/>
  <c r="AG57" i="3"/>
  <c r="AF57" i="3"/>
  <c r="AC57" i="3"/>
  <c r="AB57" i="3"/>
  <c r="Y57" i="3"/>
  <c r="X57" i="3"/>
  <c r="U57" i="3"/>
  <c r="R57" i="3"/>
  <c r="T57" i="3" s="1"/>
  <c r="Q57" i="3"/>
  <c r="P57" i="3"/>
  <c r="M57" i="3"/>
  <c r="L57" i="3"/>
  <c r="I57" i="3"/>
  <c r="H57" i="3"/>
  <c r="E57" i="3"/>
  <c r="D57" i="3"/>
  <c r="BA56" i="3"/>
  <c r="AZ56" i="3"/>
  <c r="AY56" i="3"/>
  <c r="AX56" i="3"/>
  <c r="AW56" i="3"/>
  <c r="AV56" i="3"/>
  <c r="AS56" i="3"/>
  <c r="AR56" i="3"/>
  <c r="AP56" i="3"/>
  <c r="AO56" i="3"/>
  <c r="AL56" i="3"/>
  <c r="AN56" i="3" s="1"/>
  <c r="AK56" i="3"/>
  <c r="AJ56" i="3"/>
  <c r="AH56" i="3"/>
  <c r="AG56" i="3"/>
  <c r="AF56" i="3"/>
  <c r="AC56" i="3"/>
  <c r="AB56" i="3"/>
  <c r="Y56" i="3"/>
  <c r="X56" i="3"/>
  <c r="U56" i="3"/>
  <c r="T56" i="3"/>
  <c r="Q56" i="3"/>
  <c r="P56" i="3"/>
  <c r="M56" i="3"/>
  <c r="L56" i="3"/>
  <c r="I56" i="3"/>
  <c r="H56" i="3"/>
  <c r="E56" i="3"/>
  <c r="D56" i="3"/>
  <c r="BA55" i="3"/>
  <c r="AY55" i="3"/>
  <c r="AW55" i="3"/>
  <c r="AV55" i="3"/>
  <c r="AS55" i="3"/>
  <c r="AP55" i="3"/>
  <c r="AO55" i="3"/>
  <c r="AN55" i="3"/>
  <c r="AL55" i="3"/>
  <c r="AK55" i="3"/>
  <c r="AJ55" i="3"/>
  <c r="AG55" i="3"/>
  <c r="AF55" i="3"/>
  <c r="AC55" i="3"/>
  <c r="AB55" i="3"/>
  <c r="Y55" i="3"/>
  <c r="X55" i="3"/>
  <c r="U55" i="3"/>
  <c r="T55" i="3"/>
  <c r="Q55" i="3"/>
  <c r="P55" i="3"/>
  <c r="M55" i="3"/>
  <c r="L55" i="3"/>
  <c r="I55" i="3"/>
  <c r="F55" i="3"/>
  <c r="E55" i="3"/>
  <c r="D55" i="3"/>
  <c r="B55" i="3"/>
  <c r="B58" i="3" s="1"/>
  <c r="AY54" i="3"/>
  <c r="AZ54" i="3" s="1"/>
  <c r="AX54" i="3"/>
  <c r="AW54" i="3"/>
  <c r="AV54" i="3"/>
  <c r="AS54" i="3"/>
  <c r="AR54" i="3"/>
  <c r="AO54" i="3"/>
  <c r="AN54" i="3"/>
  <c r="AK54" i="3"/>
  <c r="AJ54" i="3"/>
  <c r="AG54" i="3"/>
  <c r="AF54" i="3"/>
  <c r="AC54" i="3"/>
  <c r="AB54" i="3"/>
  <c r="Y54" i="3"/>
  <c r="X54" i="3"/>
  <c r="U54" i="3"/>
  <c r="T54" i="3"/>
  <c r="Q54" i="3"/>
  <c r="P54" i="3"/>
  <c r="M54" i="3"/>
  <c r="L54" i="3"/>
  <c r="I54" i="3"/>
  <c r="H54" i="3"/>
  <c r="E54" i="3"/>
  <c r="D54" i="3"/>
  <c r="AY53" i="3"/>
  <c r="BA53" i="3" s="1"/>
  <c r="AW53" i="3"/>
  <c r="AV53" i="3"/>
  <c r="AS53" i="3"/>
  <c r="AR53" i="3"/>
  <c r="AO53" i="3"/>
  <c r="AN53" i="3"/>
  <c r="AK53" i="3"/>
  <c r="AH53" i="3"/>
  <c r="AG53" i="3"/>
  <c r="AF53" i="3"/>
  <c r="AC53" i="3"/>
  <c r="AB53" i="3"/>
  <c r="Y53" i="3"/>
  <c r="X53" i="3"/>
  <c r="U53" i="3"/>
  <c r="T53" i="3"/>
  <c r="Q53" i="3"/>
  <c r="P53" i="3"/>
  <c r="M53" i="3"/>
  <c r="L53" i="3"/>
  <c r="I53" i="3"/>
  <c r="H53" i="3"/>
  <c r="E53" i="3"/>
  <c r="D53" i="3"/>
  <c r="BA52" i="3"/>
  <c r="AY52" i="3"/>
  <c r="AW52" i="3"/>
  <c r="AV52" i="3"/>
  <c r="AT52" i="3"/>
  <c r="AS52" i="3"/>
  <c r="AP52" i="3"/>
  <c r="AR52" i="3" s="1"/>
  <c r="AO52" i="3"/>
  <c r="AN52" i="3"/>
  <c r="AL52" i="3"/>
  <c r="AK52" i="3"/>
  <c r="AH52" i="3"/>
  <c r="AJ52" i="3" s="1"/>
  <c r="AG52" i="3"/>
  <c r="AF52" i="3"/>
  <c r="AD52" i="3"/>
  <c r="AC52" i="3"/>
  <c r="AB52" i="3"/>
  <c r="Z52" i="3"/>
  <c r="Y52" i="3"/>
  <c r="V52" i="3"/>
  <c r="X52" i="3" s="1"/>
  <c r="U52" i="3"/>
  <c r="R52" i="3"/>
  <c r="T52" i="3" s="1"/>
  <c r="Q52" i="3"/>
  <c r="P52" i="3"/>
  <c r="M52" i="3"/>
  <c r="L52" i="3"/>
  <c r="J52" i="3"/>
  <c r="I52" i="3"/>
  <c r="F52" i="3"/>
  <c r="H52" i="3" s="1"/>
  <c r="E52" i="3"/>
  <c r="B52" i="3"/>
  <c r="D52" i="3" s="1"/>
  <c r="AW51" i="3"/>
  <c r="AU51" i="3"/>
  <c r="AQ51" i="3"/>
  <c r="AS51" i="3" s="1"/>
  <c r="AM51" i="3"/>
  <c r="AO51" i="3" s="1"/>
  <c r="AI51" i="3"/>
  <c r="AK51" i="3" s="1"/>
  <c r="U51" i="3"/>
  <c r="S51" i="3"/>
  <c r="K51" i="3"/>
  <c r="M51" i="3" s="1"/>
  <c r="AY50" i="3"/>
  <c r="BA50" i="3" s="1"/>
  <c r="AW50" i="3"/>
  <c r="AT50" i="3"/>
  <c r="AV50" i="3" s="1"/>
  <c r="AS50" i="3"/>
  <c r="AR50" i="3"/>
  <c r="AO50" i="3"/>
  <c r="AN50" i="3"/>
  <c r="AK50" i="3"/>
  <c r="AJ50" i="3"/>
  <c r="AG50" i="3"/>
  <c r="AF50" i="3"/>
  <c r="AC50" i="3"/>
  <c r="AB50" i="3"/>
  <c r="Y50" i="3"/>
  <c r="X50" i="3"/>
  <c r="V50" i="3"/>
  <c r="U50" i="3"/>
  <c r="T50" i="3"/>
  <c r="Q50" i="3"/>
  <c r="P50" i="3"/>
  <c r="M50" i="3"/>
  <c r="L50" i="3"/>
  <c r="I50" i="3"/>
  <c r="H50" i="3"/>
  <c r="E50" i="3"/>
  <c r="B50" i="3"/>
  <c r="AX50" i="3" s="1"/>
  <c r="AU49" i="3"/>
  <c r="AW49" i="3" s="1"/>
  <c r="AT49" i="3"/>
  <c r="AV49" i="3" s="1"/>
  <c r="AS49" i="3"/>
  <c r="AQ49" i="3"/>
  <c r="AM49" i="3"/>
  <c r="AO49" i="3" s="1"/>
  <c r="AK49" i="3"/>
  <c r="AI49" i="3"/>
  <c r="AE49" i="3"/>
  <c r="AG49" i="3" s="1"/>
  <c r="AD49" i="3"/>
  <c r="AF49" i="3" s="1"/>
  <c r="AA49" i="3"/>
  <c r="AC49" i="3" s="1"/>
  <c r="Z49" i="3"/>
  <c r="AB49" i="3" s="1"/>
  <c r="Y49" i="3"/>
  <c r="W49" i="3"/>
  <c r="W51" i="3" s="1"/>
  <c r="Y51" i="3" s="1"/>
  <c r="S49" i="3"/>
  <c r="U49" i="3" s="1"/>
  <c r="Q49" i="3"/>
  <c r="O49" i="3"/>
  <c r="K49" i="3"/>
  <c r="M49" i="3" s="1"/>
  <c r="G49" i="3"/>
  <c r="I49" i="3" s="1"/>
  <c r="C49" i="3"/>
  <c r="E49" i="3" s="1"/>
  <c r="B49" i="3"/>
  <c r="D49" i="3" s="1"/>
  <c r="AY48" i="3"/>
  <c r="BA48" i="3" s="1"/>
  <c r="AW48" i="3"/>
  <c r="AV48" i="3"/>
  <c r="AT48" i="3"/>
  <c r="AS48" i="3"/>
  <c r="AR48" i="3"/>
  <c r="AO48" i="3"/>
  <c r="AL48" i="3"/>
  <c r="AN48" i="3" s="1"/>
  <c r="AK48" i="3"/>
  <c r="AJ48" i="3"/>
  <c r="AG48" i="3"/>
  <c r="AF48" i="3"/>
  <c r="AD48" i="3"/>
  <c r="AC48" i="3"/>
  <c r="AB48" i="3"/>
  <c r="Y48" i="3"/>
  <c r="V48" i="3"/>
  <c r="V49" i="3" s="1"/>
  <c r="X49" i="3" s="1"/>
  <c r="U48" i="3"/>
  <c r="T48" i="3"/>
  <c r="Q48" i="3"/>
  <c r="P48" i="3"/>
  <c r="M48" i="3"/>
  <c r="L48" i="3"/>
  <c r="J48" i="3"/>
  <c r="I48" i="3"/>
  <c r="H48" i="3"/>
  <c r="E48" i="3"/>
  <c r="B48" i="3"/>
  <c r="D48" i="3" s="1"/>
  <c r="AY47" i="3"/>
  <c r="BA47" i="3" s="1"/>
  <c r="AW47" i="3"/>
  <c r="AV47" i="3"/>
  <c r="AT47" i="3"/>
  <c r="AS47" i="3"/>
  <c r="AP47" i="3"/>
  <c r="AR47" i="3" s="1"/>
  <c r="AO47" i="3"/>
  <c r="AN47" i="3"/>
  <c r="AL47" i="3"/>
  <c r="AK47" i="3"/>
  <c r="AH47" i="3"/>
  <c r="AJ47" i="3" s="1"/>
  <c r="AG47" i="3"/>
  <c r="AF47" i="3"/>
  <c r="AD47" i="3"/>
  <c r="AC47" i="3"/>
  <c r="Z47" i="3"/>
  <c r="AB47" i="3" s="1"/>
  <c r="Y47" i="3"/>
  <c r="X47" i="3"/>
  <c r="V47" i="3"/>
  <c r="U47" i="3"/>
  <c r="R47" i="3"/>
  <c r="Q47" i="3"/>
  <c r="N47" i="3"/>
  <c r="N49" i="3" s="1"/>
  <c r="P49" i="3" s="1"/>
  <c r="M47" i="3"/>
  <c r="J47" i="3"/>
  <c r="J49" i="3" s="1"/>
  <c r="L49" i="3" s="1"/>
  <c r="I47" i="3"/>
  <c r="F47" i="3"/>
  <c r="E47" i="3"/>
  <c r="B47" i="3"/>
  <c r="D47" i="3" s="1"/>
  <c r="AY46" i="3"/>
  <c r="BA46" i="3" s="1"/>
  <c r="AW46" i="3"/>
  <c r="AV46" i="3"/>
  <c r="AT46" i="3"/>
  <c r="AS46" i="3"/>
  <c r="AP46" i="3"/>
  <c r="AO46" i="3"/>
  <c r="AN46" i="3"/>
  <c r="AL46" i="3"/>
  <c r="AL49" i="3" s="1"/>
  <c r="AN49" i="3" s="1"/>
  <c r="AK46" i="3"/>
  <c r="AH46" i="3"/>
  <c r="AJ46" i="3" s="1"/>
  <c r="AG46" i="3"/>
  <c r="AF46" i="3"/>
  <c r="AD46" i="3"/>
  <c r="AC46" i="3"/>
  <c r="Z46" i="3"/>
  <c r="AB46" i="3" s="1"/>
  <c r="Y46" i="3"/>
  <c r="X46" i="3"/>
  <c r="V46" i="3"/>
  <c r="U46" i="3"/>
  <c r="R46" i="3"/>
  <c r="T46" i="3" s="1"/>
  <c r="Q46" i="3"/>
  <c r="P46" i="3"/>
  <c r="N46" i="3"/>
  <c r="M46" i="3"/>
  <c r="L46" i="3"/>
  <c r="J46" i="3"/>
  <c r="I46" i="3"/>
  <c r="F46" i="3"/>
  <c r="E46" i="3"/>
  <c r="B46" i="3"/>
  <c r="D46" i="3" s="1"/>
  <c r="AY45" i="3"/>
  <c r="BA45" i="3" s="1"/>
  <c r="AX45" i="3"/>
  <c r="AZ45" i="3" s="1"/>
  <c r="AW45" i="3"/>
  <c r="AV45" i="3"/>
  <c r="AS45" i="3"/>
  <c r="AR45" i="3"/>
  <c r="AO45" i="3"/>
  <c r="AN45" i="3"/>
  <c r="AK45" i="3"/>
  <c r="AJ45" i="3"/>
  <c r="AG45" i="3"/>
  <c r="AF45" i="3"/>
  <c r="AC45" i="3"/>
  <c r="AB45" i="3"/>
  <c r="Y45" i="3"/>
  <c r="X45" i="3"/>
  <c r="U45" i="3"/>
  <c r="T45" i="3"/>
  <c r="Q45" i="3"/>
  <c r="P45" i="3"/>
  <c r="M45" i="3"/>
  <c r="L45" i="3"/>
  <c r="I45" i="3"/>
  <c r="H45" i="3"/>
  <c r="E45" i="3"/>
  <c r="D45" i="3"/>
  <c r="BA44" i="3"/>
  <c r="AY44" i="3"/>
  <c r="AX44" i="3"/>
  <c r="AZ44" i="3" s="1"/>
  <c r="AW44" i="3"/>
  <c r="AV44" i="3"/>
  <c r="AT44" i="3"/>
  <c r="AS44" i="3"/>
  <c r="AP44" i="3"/>
  <c r="AR44" i="3" s="1"/>
  <c r="AO44" i="3"/>
  <c r="AN44" i="3"/>
  <c r="AK44" i="3"/>
  <c r="AJ44" i="3"/>
  <c r="AG44" i="3"/>
  <c r="AF44" i="3"/>
  <c r="AC44" i="3"/>
  <c r="AB44" i="3"/>
  <c r="Y44" i="3"/>
  <c r="X44" i="3"/>
  <c r="U44" i="3"/>
  <c r="R44" i="3"/>
  <c r="T44" i="3" s="1"/>
  <c r="Q44" i="3"/>
  <c r="N44" i="3"/>
  <c r="P44" i="3" s="1"/>
  <c r="M44" i="3"/>
  <c r="J44" i="3"/>
  <c r="L44" i="3" s="1"/>
  <c r="I44" i="3"/>
  <c r="H44" i="3"/>
  <c r="E44" i="3"/>
  <c r="D44" i="3"/>
  <c r="AU43" i="3"/>
  <c r="AW43" i="3" s="1"/>
  <c r="AT43" i="3"/>
  <c r="AS43" i="3"/>
  <c r="AQ43" i="3"/>
  <c r="AP43" i="3"/>
  <c r="AR43" i="3" s="1"/>
  <c r="AM43" i="3"/>
  <c r="AO43" i="3" s="1"/>
  <c r="AL43" i="3"/>
  <c r="AN43" i="3" s="1"/>
  <c r="AK43" i="3"/>
  <c r="AI43" i="3"/>
  <c r="AH43" i="3"/>
  <c r="AJ43" i="3" s="1"/>
  <c r="AG43" i="3"/>
  <c r="AF43" i="3"/>
  <c r="AE43" i="3"/>
  <c r="AD43" i="3"/>
  <c r="AA43" i="3"/>
  <c r="Z43" i="3"/>
  <c r="AB43" i="3" s="1"/>
  <c r="W43" i="3"/>
  <c r="Y43" i="3" s="1"/>
  <c r="V43" i="3"/>
  <c r="X43" i="3" s="1"/>
  <c r="S43" i="3"/>
  <c r="U43" i="3" s="1"/>
  <c r="R43" i="3"/>
  <c r="T43" i="3" s="1"/>
  <c r="Q43" i="3"/>
  <c r="O43" i="3"/>
  <c r="N43" i="3"/>
  <c r="P43" i="3" s="1"/>
  <c r="K43" i="3"/>
  <c r="M43" i="3" s="1"/>
  <c r="J43" i="3"/>
  <c r="L43" i="3" s="1"/>
  <c r="G43" i="3"/>
  <c r="I43" i="3" s="1"/>
  <c r="F43" i="3"/>
  <c r="H43" i="3" s="1"/>
  <c r="C43" i="3"/>
  <c r="BA42" i="3"/>
  <c r="AY42" i="3"/>
  <c r="AX42" i="3"/>
  <c r="AZ42" i="3" s="1"/>
  <c r="AW42" i="3"/>
  <c r="AV42" i="3"/>
  <c r="AS42" i="3"/>
  <c r="AR42" i="3"/>
  <c r="AO42" i="3"/>
  <c r="AN42" i="3"/>
  <c r="AK42" i="3"/>
  <c r="AJ42" i="3"/>
  <c r="AG42" i="3"/>
  <c r="AF42" i="3"/>
  <c r="AC42" i="3"/>
  <c r="AB42" i="3"/>
  <c r="Y42" i="3"/>
  <c r="X42" i="3"/>
  <c r="U42" i="3"/>
  <c r="T42" i="3"/>
  <c r="Q42" i="3"/>
  <c r="P42" i="3"/>
  <c r="M42" i="3"/>
  <c r="L42" i="3"/>
  <c r="I42" i="3"/>
  <c r="H42" i="3"/>
  <c r="E42" i="3"/>
  <c r="B42" i="3"/>
  <c r="D42" i="3" s="1"/>
  <c r="BA41" i="3"/>
  <c r="AY41" i="3"/>
  <c r="AX41" i="3"/>
  <c r="AZ41" i="3" s="1"/>
  <c r="AW41" i="3"/>
  <c r="AV41" i="3"/>
  <c r="AS41" i="3"/>
  <c r="AR41" i="3"/>
  <c r="AO41" i="3"/>
  <c r="AN41" i="3"/>
  <c r="AK41" i="3"/>
  <c r="AJ41" i="3"/>
  <c r="AG41" i="3"/>
  <c r="AF41" i="3"/>
  <c r="AC41" i="3"/>
  <c r="AB41" i="3"/>
  <c r="Y41" i="3"/>
  <c r="X41" i="3"/>
  <c r="U41" i="3"/>
  <c r="T41" i="3"/>
  <c r="Q41" i="3"/>
  <c r="P41" i="3"/>
  <c r="M41" i="3"/>
  <c r="L41" i="3"/>
  <c r="I41" i="3"/>
  <c r="H41" i="3"/>
  <c r="E41" i="3"/>
  <c r="D41" i="3"/>
  <c r="AY40" i="3"/>
  <c r="BA40" i="3" s="1"/>
  <c r="AU40" i="3"/>
  <c r="AW40" i="3" s="1"/>
  <c r="AQ40" i="3"/>
  <c r="AS40" i="3" s="1"/>
  <c r="AO40" i="3"/>
  <c r="AM40" i="3"/>
  <c r="AI40" i="3"/>
  <c r="AK40" i="3" s="1"/>
  <c r="AG40" i="3"/>
  <c r="AE40" i="3"/>
  <c r="AE51" i="3" s="1"/>
  <c r="AG51" i="3" s="1"/>
  <c r="AA40" i="3"/>
  <c r="AC40" i="3" s="1"/>
  <c r="Z40" i="3"/>
  <c r="W40" i="3"/>
  <c r="Y40" i="3" s="1"/>
  <c r="S40" i="3"/>
  <c r="U40" i="3" s="1"/>
  <c r="O40" i="3"/>
  <c r="Q40" i="3" s="1"/>
  <c r="M40" i="3"/>
  <c r="K40" i="3"/>
  <c r="J40" i="3"/>
  <c r="G40" i="3"/>
  <c r="C40" i="3"/>
  <c r="E40" i="3" s="1"/>
  <c r="AY39" i="3"/>
  <c r="BA39" i="3" s="1"/>
  <c r="AW39" i="3"/>
  <c r="AT39" i="3"/>
  <c r="AV39" i="3" s="1"/>
  <c r="AS39" i="3"/>
  <c r="AP39" i="3"/>
  <c r="AR39" i="3" s="1"/>
  <c r="AO39" i="3"/>
  <c r="AN39" i="3"/>
  <c r="AL39" i="3"/>
  <c r="AK39" i="3"/>
  <c r="AH39" i="3"/>
  <c r="AJ39" i="3" s="1"/>
  <c r="AG39" i="3"/>
  <c r="AF39" i="3"/>
  <c r="AD39" i="3"/>
  <c r="AC39" i="3"/>
  <c r="AB39" i="3"/>
  <c r="Y39" i="3"/>
  <c r="X39" i="3"/>
  <c r="U39" i="3"/>
  <c r="R39" i="3"/>
  <c r="T39" i="3" s="1"/>
  <c r="Q39" i="3"/>
  <c r="P39" i="3"/>
  <c r="N39" i="3"/>
  <c r="M39" i="3"/>
  <c r="L39" i="3"/>
  <c r="I39" i="3"/>
  <c r="H39" i="3"/>
  <c r="E39" i="3"/>
  <c r="B39" i="3"/>
  <c r="AY38" i="3"/>
  <c r="BA38" i="3" s="1"/>
  <c r="AW38" i="3"/>
  <c r="AV38" i="3"/>
  <c r="AT38" i="3"/>
  <c r="AS38" i="3"/>
  <c r="AP38" i="3"/>
  <c r="AR38" i="3" s="1"/>
  <c r="AO38" i="3"/>
  <c r="AL38" i="3"/>
  <c r="AN38" i="3" s="1"/>
  <c r="AK38" i="3"/>
  <c r="AJ38" i="3"/>
  <c r="AH38" i="3"/>
  <c r="AG38" i="3"/>
  <c r="AF38" i="3"/>
  <c r="AD38" i="3"/>
  <c r="AC38" i="3"/>
  <c r="Z38" i="3"/>
  <c r="AB38" i="3" s="1"/>
  <c r="Y38" i="3"/>
  <c r="V38" i="3"/>
  <c r="X38" i="3" s="1"/>
  <c r="U38" i="3"/>
  <c r="R38" i="3"/>
  <c r="R40" i="3" s="1"/>
  <c r="Q38" i="3"/>
  <c r="N38" i="3"/>
  <c r="M38" i="3"/>
  <c r="J38" i="3"/>
  <c r="L38" i="3" s="1"/>
  <c r="I38" i="3"/>
  <c r="H38" i="3"/>
  <c r="F38" i="3"/>
  <c r="E38" i="3"/>
  <c r="D38" i="3"/>
  <c r="B38" i="3"/>
  <c r="AY37" i="3"/>
  <c r="BA37" i="3" s="1"/>
  <c r="AW37" i="3"/>
  <c r="AT37" i="3"/>
  <c r="AV37" i="3" s="1"/>
  <c r="AS37" i="3"/>
  <c r="AP37" i="3"/>
  <c r="AO37" i="3"/>
  <c r="AN37" i="3"/>
  <c r="AK37" i="3"/>
  <c r="AH37" i="3"/>
  <c r="AH40" i="3" s="1"/>
  <c r="AG37" i="3"/>
  <c r="AD37" i="3"/>
  <c r="AF37" i="3" s="1"/>
  <c r="AC37" i="3"/>
  <c r="AB37" i="3"/>
  <c r="Y37" i="3"/>
  <c r="X37" i="3"/>
  <c r="U37" i="3"/>
  <c r="T37" i="3"/>
  <c r="Q37" i="3"/>
  <c r="P37" i="3"/>
  <c r="M37" i="3"/>
  <c r="L37" i="3"/>
  <c r="I37" i="3"/>
  <c r="H37" i="3"/>
  <c r="E37" i="3"/>
  <c r="B37" i="3"/>
  <c r="D37" i="3" s="1"/>
  <c r="AY36" i="3"/>
  <c r="BA36" i="3" s="1"/>
  <c r="AW36" i="3"/>
  <c r="AV36" i="3"/>
  <c r="AT36" i="3"/>
  <c r="AS36" i="3"/>
  <c r="AR36" i="3"/>
  <c r="AP36" i="3"/>
  <c r="AO36" i="3"/>
  <c r="AL36" i="3"/>
  <c r="AN36" i="3" s="1"/>
  <c r="AK36" i="3"/>
  <c r="AJ36" i="3"/>
  <c r="AH36" i="3"/>
  <c r="AG36" i="3"/>
  <c r="AD36" i="3"/>
  <c r="AD40" i="3" s="1"/>
  <c r="AC36" i="3"/>
  <c r="AB36" i="3"/>
  <c r="Z36" i="3"/>
  <c r="Y36" i="3"/>
  <c r="V36" i="3"/>
  <c r="U36" i="3"/>
  <c r="T36" i="3"/>
  <c r="R36" i="3"/>
  <c r="Q36" i="3"/>
  <c r="N36" i="3"/>
  <c r="P36" i="3" s="1"/>
  <c r="M36" i="3"/>
  <c r="L36" i="3"/>
  <c r="J36" i="3"/>
  <c r="I36" i="3"/>
  <c r="F36" i="3"/>
  <c r="H36" i="3" s="1"/>
  <c r="E36" i="3"/>
  <c r="B36" i="3"/>
  <c r="AY35" i="3"/>
  <c r="AZ35" i="3" s="1"/>
  <c r="AX35" i="3"/>
  <c r="AW35" i="3"/>
  <c r="AV35" i="3"/>
  <c r="AS35" i="3"/>
  <c r="AR35" i="3"/>
  <c r="AO35" i="3"/>
  <c r="AN35" i="3"/>
  <c r="AK35" i="3"/>
  <c r="AJ35" i="3"/>
  <c r="AG35" i="3"/>
  <c r="AF35" i="3"/>
  <c r="AC35" i="3"/>
  <c r="AB35" i="3"/>
  <c r="Y35" i="3"/>
  <c r="X35" i="3"/>
  <c r="U35" i="3"/>
  <c r="T35" i="3"/>
  <c r="Q35" i="3"/>
  <c r="P35" i="3"/>
  <c r="M35" i="3"/>
  <c r="L35" i="3"/>
  <c r="I35" i="3"/>
  <c r="H35" i="3"/>
  <c r="E35" i="3"/>
  <c r="D35" i="3"/>
  <c r="AY34" i="3"/>
  <c r="BA34" i="3" s="1"/>
  <c r="AX34" i="3"/>
  <c r="AW34" i="3"/>
  <c r="AV34" i="3"/>
  <c r="AS34" i="3"/>
  <c r="AR34" i="3"/>
  <c r="AO34" i="3"/>
  <c r="AN34" i="3"/>
  <c r="AK34" i="3"/>
  <c r="AJ34" i="3"/>
  <c r="AG34" i="3"/>
  <c r="AF34" i="3"/>
  <c r="AC34" i="3"/>
  <c r="AB34" i="3"/>
  <c r="Y34" i="3"/>
  <c r="X34" i="3"/>
  <c r="U34" i="3"/>
  <c r="T34" i="3"/>
  <c r="Q34" i="3"/>
  <c r="P34" i="3"/>
  <c r="M34" i="3"/>
  <c r="L34" i="3"/>
  <c r="I34" i="3"/>
  <c r="H34" i="3"/>
  <c r="E34" i="3"/>
  <c r="D34" i="3"/>
  <c r="AY33" i="3"/>
  <c r="BA33" i="3" s="1"/>
  <c r="AW33" i="3"/>
  <c r="AV33" i="3"/>
  <c r="AS33" i="3"/>
  <c r="AP33" i="3"/>
  <c r="AR33" i="3" s="1"/>
  <c r="AO33" i="3"/>
  <c r="AN33" i="3"/>
  <c r="AK33" i="3"/>
  <c r="AJ33" i="3"/>
  <c r="AH33" i="3"/>
  <c r="AG33" i="3"/>
  <c r="AF33" i="3"/>
  <c r="AC33" i="3"/>
  <c r="AB33" i="3"/>
  <c r="Z33" i="3"/>
  <c r="Y33" i="3"/>
  <c r="X33" i="3"/>
  <c r="V33" i="3"/>
  <c r="U33" i="3"/>
  <c r="T33" i="3"/>
  <c r="Q33" i="3"/>
  <c r="N33" i="3"/>
  <c r="AX33" i="3" s="1"/>
  <c r="AZ33" i="3" s="1"/>
  <c r="M33" i="3"/>
  <c r="L33" i="3"/>
  <c r="I33" i="3"/>
  <c r="H33" i="3"/>
  <c r="E33" i="3"/>
  <c r="D33" i="3"/>
  <c r="B33" i="3"/>
  <c r="AY32" i="3"/>
  <c r="BA32" i="3" s="1"/>
  <c r="AW32" i="3"/>
  <c r="AT32" i="3"/>
  <c r="AV32" i="3" s="1"/>
  <c r="AS32" i="3"/>
  <c r="AP32" i="3"/>
  <c r="AR32" i="3" s="1"/>
  <c r="AO32" i="3"/>
  <c r="AN32" i="3"/>
  <c r="AK32" i="3"/>
  <c r="AH32" i="3"/>
  <c r="AJ32" i="3" s="1"/>
  <c r="AG32" i="3"/>
  <c r="AF32" i="3"/>
  <c r="AC32" i="3"/>
  <c r="AB32" i="3"/>
  <c r="Z32" i="3"/>
  <c r="Y32" i="3"/>
  <c r="X32" i="3"/>
  <c r="V32" i="3"/>
  <c r="U32" i="3"/>
  <c r="T32" i="3"/>
  <c r="Q32" i="3"/>
  <c r="N32" i="3"/>
  <c r="P32" i="3" s="1"/>
  <c r="M32" i="3"/>
  <c r="J32" i="3"/>
  <c r="AX32" i="3" s="1"/>
  <c r="AZ32" i="3" s="1"/>
  <c r="I32" i="3"/>
  <c r="H32" i="3"/>
  <c r="E32" i="3"/>
  <c r="D32" i="3"/>
  <c r="BA31" i="3"/>
  <c r="AY31" i="3"/>
  <c r="AW31" i="3"/>
  <c r="AT31" i="3"/>
  <c r="AV31" i="3" s="1"/>
  <c r="AS31" i="3"/>
  <c r="AP31" i="3"/>
  <c r="AR31" i="3" s="1"/>
  <c r="AO31" i="3"/>
  <c r="AN31" i="3"/>
  <c r="AL31" i="3"/>
  <c r="AK31" i="3"/>
  <c r="AJ31" i="3"/>
  <c r="AH31" i="3"/>
  <c r="AG31" i="3"/>
  <c r="AF31" i="3"/>
  <c r="AD31" i="3"/>
  <c r="AC31" i="3"/>
  <c r="Z31" i="3"/>
  <c r="AB31" i="3" s="1"/>
  <c r="Y31" i="3"/>
  <c r="X31" i="3"/>
  <c r="V31" i="3"/>
  <c r="U31" i="3"/>
  <c r="T31" i="3"/>
  <c r="R31" i="3"/>
  <c r="Q31" i="3"/>
  <c r="P31" i="3"/>
  <c r="N31" i="3"/>
  <c r="M31" i="3"/>
  <c r="J31" i="3"/>
  <c r="L31" i="3" s="1"/>
  <c r="I31" i="3"/>
  <c r="F31" i="3"/>
  <c r="H31" i="3" s="1"/>
  <c r="E31" i="3"/>
  <c r="B31" i="3"/>
  <c r="BA30" i="3"/>
  <c r="AY30" i="3"/>
  <c r="AW30" i="3"/>
  <c r="AV30" i="3"/>
  <c r="AT30" i="3"/>
  <c r="AS30" i="3"/>
  <c r="AR30" i="3"/>
  <c r="AO30" i="3"/>
  <c r="AL30" i="3"/>
  <c r="AN30" i="3" s="1"/>
  <c r="AK30" i="3"/>
  <c r="AH30" i="3"/>
  <c r="AJ30" i="3" s="1"/>
  <c r="AG30" i="3"/>
  <c r="AF30" i="3"/>
  <c r="AC30" i="3"/>
  <c r="Z30" i="3"/>
  <c r="AB30" i="3" s="1"/>
  <c r="Y30" i="3"/>
  <c r="X30" i="3"/>
  <c r="U30" i="3"/>
  <c r="T30" i="3"/>
  <c r="Q30" i="3"/>
  <c r="P30" i="3"/>
  <c r="M30" i="3"/>
  <c r="L30" i="3"/>
  <c r="I30" i="3"/>
  <c r="H30" i="3"/>
  <c r="E30" i="3"/>
  <c r="D30" i="3"/>
  <c r="B30" i="3"/>
  <c r="AU29" i="3"/>
  <c r="AW29" i="3" s="1"/>
  <c r="AS29" i="3"/>
  <c r="AQ29" i="3"/>
  <c r="AM29" i="3"/>
  <c r="AI29" i="3"/>
  <c r="AK29" i="3" s="1"/>
  <c r="AE29" i="3"/>
  <c r="AG29" i="3" s="1"/>
  <c r="AD29" i="3"/>
  <c r="AC29" i="3"/>
  <c r="AA29" i="3"/>
  <c r="Y29" i="3"/>
  <c r="W29" i="3"/>
  <c r="U29" i="3"/>
  <c r="S29" i="3"/>
  <c r="R29" i="3"/>
  <c r="T29" i="3" s="1"/>
  <c r="O29" i="3"/>
  <c r="Q29" i="3" s="1"/>
  <c r="N29" i="3"/>
  <c r="P29" i="3" s="1"/>
  <c r="M29" i="3"/>
  <c r="L29" i="3"/>
  <c r="K29" i="3"/>
  <c r="J29" i="3"/>
  <c r="G29" i="3"/>
  <c r="E29" i="3"/>
  <c r="C29" i="3"/>
  <c r="BA28" i="3"/>
  <c r="AY28" i="3"/>
  <c r="AW28" i="3"/>
  <c r="AT28" i="3"/>
  <c r="AV28" i="3" s="1"/>
  <c r="AS28" i="3"/>
  <c r="AR28" i="3"/>
  <c r="AP28" i="3"/>
  <c r="AO28" i="3"/>
  <c r="AL28" i="3"/>
  <c r="AN28" i="3" s="1"/>
  <c r="AK28" i="3"/>
  <c r="AJ28" i="3"/>
  <c r="AH28" i="3"/>
  <c r="AG28" i="3"/>
  <c r="AD28" i="3"/>
  <c r="AF28" i="3" s="1"/>
  <c r="AC28" i="3"/>
  <c r="Z28" i="3"/>
  <c r="AB28" i="3" s="1"/>
  <c r="Y28" i="3"/>
  <c r="X28" i="3"/>
  <c r="V28" i="3"/>
  <c r="U28" i="3"/>
  <c r="T28" i="3"/>
  <c r="R28" i="3"/>
  <c r="Q28" i="3"/>
  <c r="P28" i="3"/>
  <c r="N28" i="3"/>
  <c r="M28" i="3"/>
  <c r="L28" i="3"/>
  <c r="J28" i="3"/>
  <c r="I28" i="3"/>
  <c r="F28" i="3"/>
  <c r="AX28" i="3" s="1"/>
  <c r="AZ28" i="3" s="1"/>
  <c r="E28" i="3"/>
  <c r="D28" i="3"/>
  <c r="B28" i="3"/>
  <c r="AY27" i="3"/>
  <c r="BA27" i="3" s="1"/>
  <c r="AW27" i="3"/>
  <c r="AT27" i="3"/>
  <c r="AV27" i="3" s="1"/>
  <c r="AS27" i="3"/>
  <c r="AP27" i="3"/>
  <c r="AR27" i="3" s="1"/>
  <c r="AO27" i="3"/>
  <c r="AL27" i="3"/>
  <c r="AN27" i="3" s="1"/>
  <c r="AK27" i="3"/>
  <c r="AH27" i="3"/>
  <c r="AG27" i="3"/>
  <c r="AD27" i="3"/>
  <c r="AF27" i="3" s="1"/>
  <c r="AC27" i="3"/>
  <c r="Z27" i="3"/>
  <c r="Z29" i="3" s="1"/>
  <c r="AB29" i="3" s="1"/>
  <c r="Y27" i="3"/>
  <c r="X27" i="3"/>
  <c r="V27" i="3"/>
  <c r="U27" i="3"/>
  <c r="R27" i="3"/>
  <c r="T27" i="3" s="1"/>
  <c r="Q27" i="3"/>
  <c r="N27" i="3"/>
  <c r="P27" i="3" s="1"/>
  <c r="M27" i="3"/>
  <c r="L27" i="3"/>
  <c r="J27" i="3"/>
  <c r="I27" i="3"/>
  <c r="F27" i="3"/>
  <c r="F29" i="3" s="1"/>
  <c r="H29" i="3" s="1"/>
  <c r="E27" i="3"/>
  <c r="D27" i="3"/>
  <c r="B27" i="3"/>
  <c r="BA26" i="3"/>
  <c r="AY26" i="3"/>
  <c r="AW26" i="3"/>
  <c r="AT26" i="3"/>
  <c r="AV26" i="3" s="1"/>
  <c r="AS26" i="3"/>
  <c r="AP26" i="3"/>
  <c r="AO26" i="3"/>
  <c r="AN26" i="3"/>
  <c r="AK26" i="3"/>
  <c r="AH26" i="3"/>
  <c r="AJ26" i="3" s="1"/>
  <c r="AG26" i="3"/>
  <c r="AF26" i="3"/>
  <c r="AC26" i="3"/>
  <c r="AB26" i="3"/>
  <c r="Z26" i="3"/>
  <c r="Y26" i="3"/>
  <c r="V26" i="3"/>
  <c r="U26" i="3"/>
  <c r="T26" i="3"/>
  <c r="Q26" i="3"/>
  <c r="P26" i="3"/>
  <c r="M26" i="3"/>
  <c r="L26" i="3"/>
  <c r="I26" i="3"/>
  <c r="H26" i="3"/>
  <c r="E26" i="3"/>
  <c r="D26" i="3"/>
  <c r="B26" i="3"/>
  <c r="B29" i="3" s="1"/>
  <c r="AU25" i="3"/>
  <c r="AT25" i="3"/>
  <c r="AS25" i="3"/>
  <c r="AQ25" i="3"/>
  <c r="AO25" i="3"/>
  <c r="AM25" i="3"/>
  <c r="AK25" i="3"/>
  <c r="AI25" i="3"/>
  <c r="AI98" i="3" s="1"/>
  <c r="AK98" i="3" s="1"/>
  <c r="AG25" i="3"/>
  <c r="AE25" i="3"/>
  <c r="AA25" i="3"/>
  <c r="W25" i="3"/>
  <c r="S25" i="3"/>
  <c r="U25" i="3" s="1"/>
  <c r="R25" i="3"/>
  <c r="O25" i="3"/>
  <c r="Q25" i="3" s="1"/>
  <c r="K25" i="3"/>
  <c r="G25" i="3"/>
  <c r="E25" i="3"/>
  <c r="C25" i="3"/>
  <c r="BA24" i="3"/>
  <c r="AZ24" i="3"/>
  <c r="AY24" i="3"/>
  <c r="AX24" i="3"/>
  <c r="AW24" i="3"/>
  <c r="AV24" i="3"/>
  <c r="AS24" i="3"/>
  <c r="AR24" i="3"/>
  <c r="AO24" i="3"/>
  <c r="AL24" i="3"/>
  <c r="AK24" i="3"/>
  <c r="AJ24" i="3"/>
  <c r="AG24" i="3"/>
  <c r="AD24" i="3"/>
  <c r="AF24" i="3" s="1"/>
  <c r="AC24" i="3"/>
  <c r="AB24" i="3"/>
  <c r="Y24" i="3"/>
  <c r="X24" i="3"/>
  <c r="U24" i="3"/>
  <c r="T24" i="3"/>
  <c r="Q24" i="3"/>
  <c r="P24" i="3"/>
  <c r="M24" i="3"/>
  <c r="L24" i="3"/>
  <c r="I24" i="3"/>
  <c r="H24" i="3"/>
  <c r="E24" i="3"/>
  <c r="D24" i="3"/>
  <c r="BA23" i="3"/>
  <c r="AY23" i="3"/>
  <c r="AW23" i="3"/>
  <c r="AV23" i="3"/>
  <c r="AS23" i="3"/>
  <c r="AR23" i="3"/>
  <c r="AP23" i="3"/>
  <c r="AX23" i="3" s="1"/>
  <c r="AZ23" i="3" s="1"/>
  <c r="AO23" i="3"/>
  <c r="AN23" i="3"/>
  <c r="AK23" i="3"/>
  <c r="AJ23" i="3"/>
  <c r="AG23" i="3"/>
  <c r="AF23" i="3"/>
  <c r="AC23" i="3"/>
  <c r="AB23" i="3"/>
  <c r="Y23" i="3"/>
  <c r="X23" i="3"/>
  <c r="U23" i="3"/>
  <c r="T23" i="3"/>
  <c r="Q23" i="3"/>
  <c r="P23" i="3"/>
  <c r="M23" i="3"/>
  <c r="L23" i="3"/>
  <c r="I23" i="3"/>
  <c r="H23" i="3"/>
  <c r="E23" i="3"/>
  <c r="D23" i="3"/>
  <c r="AY22" i="3"/>
  <c r="BA22" i="3" s="1"/>
  <c r="AW22" i="3"/>
  <c r="AV22" i="3"/>
  <c r="AT22" i="3"/>
  <c r="AS22" i="3"/>
  <c r="AP22" i="3"/>
  <c r="AR22" i="3" s="1"/>
  <c r="AO22" i="3"/>
  <c r="AN22" i="3"/>
  <c r="AL22" i="3"/>
  <c r="AK22" i="3"/>
  <c r="AH22" i="3"/>
  <c r="AJ22" i="3" s="1"/>
  <c r="AG22" i="3"/>
  <c r="AF22" i="3"/>
  <c r="AD22" i="3"/>
  <c r="AC22" i="3"/>
  <c r="Z22" i="3"/>
  <c r="AB22" i="3" s="1"/>
  <c r="Y22" i="3"/>
  <c r="V22" i="3"/>
  <c r="X22" i="3" s="1"/>
  <c r="U22" i="3"/>
  <c r="R22" i="3"/>
  <c r="T22" i="3" s="1"/>
  <c r="Q22" i="3"/>
  <c r="N22" i="3"/>
  <c r="P22" i="3" s="1"/>
  <c r="M22" i="3"/>
  <c r="J22" i="3"/>
  <c r="L22" i="3" s="1"/>
  <c r="I22" i="3"/>
  <c r="H22" i="3"/>
  <c r="F22" i="3"/>
  <c r="E22" i="3"/>
  <c r="B22" i="3"/>
  <c r="D22" i="3" s="1"/>
  <c r="AY21" i="3"/>
  <c r="BA21" i="3" s="1"/>
  <c r="AW21" i="3"/>
  <c r="AT21" i="3"/>
  <c r="AV21" i="3" s="1"/>
  <c r="AS21" i="3"/>
  <c r="AP21" i="3"/>
  <c r="AO21" i="3"/>
  <c r="AN21" i="3"/>
  <c r="AL21" i="3"/>
  <c r="AK21" i="3"/>
  <c r="AH21" i="3"/>
  <c r="AG21" i="3"/>
  <c r="AD21" i="3"/>
  <c r="AD25" i="3" s="1"/>
  <c r="AF25" i="3" s="1"/>
  <c r="AC21" i="3"/>
  <c r="Z21" i="3"/>
  <c r="Y21" i="3"/>
  <c r="X21" i="3"/>
  <c r="V21" i="3"/>
  <c r="U21" i="3"/>
  <c r="R21" i="3"/>
  <c r="T21" i="3" s="1"/>
  <c r="Q21" i="3"/>
  <c r="N21" i="3"/>
  <c r="M21" i="3"/>
  <c r="J21" i="3"/>
  <c r="J25" i="3" s="1"/>
  <c r="L25" i="3" s="1"/>
  <c r="I21" i="3"/>
  <c r="F21" i="3"/>
  <c r="E21" i="3"/>
  <c r="B21" i="3"/>
  <c r="D21" i="3" s="1"/>
  <c r="AY20" i="3"/>
  <c r="BA20" i="3" s="1"/>
  <c r="AX20" i="3"/>
  <c r="AZ20" i="3" s="1"/>
  <c r="AW20" i="3"/>
  <c r="AV20" i="3"/>
  <c r="AS20" i="3"/>
  <c r="AR20" i="3"/>
  <c r="AO20" i="3"/>
  <c r="AN20" i="3"/>
  <c r="AK20" i="3"/>
  <c r="AJ20" i="3"/>
  <c r="AG20" i="3"/>
  <c r="AF20" i="3"/>
  <c r="AC20" i="3"/>
  <c r="AB20" i="3"/>
  <c r="Y20" i="3"/>
  <c r="X20" i="3"/>
  <c r="U20" i="3"/>
  <c r="T20" i="3"/>
  <c r="Q20" i="3"/>
  <c r="P20" i="3"/>
  <c r="M20" i="3"/>
  <c r="L20" i="3"/>
  <c r="I20" i="3"/>
  <c r="H20" i="3"/>
  <c r="E20" i="3"/>
  <c r="D20" i="3"/>
  <c r="AW17" i="3"/>
  <c r="AU17" i="3"/>
  <c r="AU18" i="3" s="1"/>
  <c r="AW18" i="3" s="1"/>
  <c r="AQ17" i="3"/>
  <c r="AI17" i="3"/>
  <c r="AI18" i="3" s="1"/>
  <c r="AC17" i="3"/>
  <c r="AA17" i="3"/>
  <c r="AA18" i="3" s="1"/>
  <c r="AC18" i="3" s="1"/>
  <c r="P17" i="3"/>
  <c r="O17" i="3"/>
  <c r="N17" i="3"/>
  <c r="N18" i="3" s="1"/>
  <c r="I17" i="3"/>
  <c r="G17" i="3"/>
  <c r="G18" i="3" s="1"/>
  <c r="I18" i="3" s="1"/>
  <c r="C17" i="3"/>
  <c r="E17" i="3" s="1"/>
  <c r="AY16" i="3"/>
  <c r="BA16" i="3" s="1"/>
  <c r="AW16" i="3"/>
  <c r="AT16" i="3"/>
  <c r="AV16" i="3" s="1"/>
  <c r="AS16" i="3"/>
  <c r="AP16" i="3"/>
  <c r="AR16" i="3" s="1"/>
  <c r="AO16" i="3"/>
  <c r="AL16" i="3"/>
  <c r="AN16" i="3" s="1"/>
  <c r="AK16" i="3"/>
  <c r="AJ16" i="3"/>
  <c r="AH16" i="3"/>
  <c r="AG16" i="3"/>
  <c r="AD16" i="3"/>
  <c r="AF16" i="3" s="1"/>
  <c r="AC16" i="3"/>
  <c r="Z16" i="3"/>
  <c r="AB16" i="3" s="1"/>
  <c r="Y16" i="3"/>
  <c r="V16" i="3"/>
  <c r="X16" i="3" s="1"/>
  <c r="U16" i="3"/>
  <c r="R16" i="3"/>
  <c r="T16" i="3" s="1"/>
  <c r="Q16" i="3"/>
  <c r="N16" i="3"/>
  <c r="P16" i="3" s="1"/>
  <c r="M16" i="3"/>
  <c r="J16" i="3"/>
  <c r="L16" i="3" s="1"/>
  <c r="I16" i="3"/>
  <c r="H16" i="3"/>
  <c r="F16" i="3"/>
  <c r="E16" i="3"/>
  <c r="B16" i="3"/>
  <c r="D16" i="3" s="1"/>
  <c r="AY15" i="3"/>
  <c r="BA15" i="3" s="1"/>
  <c r="AW15" i="3"/>
  <c r="AV15" i="3"/>
  <c r="AS15" i="3"/>
  <c r="AP15" i="3"/>
  <c r="AR15" i="3" s="1"/>
  <c r="AO15" i="3"/>
  <c r="AL15" i="3"/>
  <c r="AN15" i="3" s="1"/>
  <c r="AK15" i="3"/>
  <c r="AH15" i="3"/>
  <c r="AJ15" i="3" s="1"/>
  <c r="AG15" i="3"/>
  <c r="AD15" i="3"/>
  <c r="AF15" i="3" s="1"/>
  <c r="AC15" i="3"/>
  <c r="AB15" i="3"/>
  <c r="Z15" i="3"/>
  <c r="Y15" i="3"/>
  <c r="V15" i="3"/>
  <c r="X15" i="3" s="1"/>
  <c r="U15" i="3"/>
  <c r="T15" i="3"/>
  <c r="R15" i="3"/>
  <c r="Q15" i="3"/>
  <c r="P15" i="3"/>
  <c r="N15" i="3"/>
  <c r="M15" i="3"/>
  <c r="L15" i="3"/>
  <c r="J15" i="3"/>
  <c r="I15" i="3"/>
  <c r="F15" i="3"/>
  <c r="H15" i="3" s="1"/>
  <c r="E15" i="3"/>
  <c r="B15" i="3"/>
  <c r="AX15" i="3" s="1"/>
  <c r="AZ15" i="3" s="1"/>
  <c r="BA14" i="3"/>
  <c r="AY14" i="3"/>
  <c r="AW14" i="3"/>
  <c r="AT14" i="3"/>
  <c r="AV14" i="3" s="1"/>
  <c r="AS14" i="3"/>
  <c r="AR14" i="3"/>
  <c r="AP14" i="3"/>
  <c r="AO14" i="3"/>
  <c r="AN14" i="3"/>
  <c r="AL14" i="3"/>
  <c r="AK14" i="3"/>
  <c r="AJ14" i="3"/>
  <c r="AH14" i="3"/>
  <c r="AG14" i="3"/>
  <c r="AD14" i="3"/>
  <c r="AF14" i="3" s="1"/>
  <c r="AC14" i="3"/>
  <c r="AB14" i="3"/>
  <c r="Z14" i="3"/>
  <c r="Y14" i="3"/>
  <c r="V14" i="3"/>
  <c r="X14" i="3" s="1"/>
  <c r="U14" i="3"/>
  <c r="T14" i="3"/>
  <c r="R14" i="3"/>
  <c r="Q14" i="3"/>
  <c r="N14" i="3"/>
  <c r="P14" i="3" s="1"/>
  <c r="M14" i="3"/>
  <c r="J14" i="3"/>
  <c r="L14" i="3" s="1"/>
  <c r="I14" i="3"/>
  <c r="F14" i="3"/>
  <c r="H14" i="3" s="1"/>
  <c r="E14" i="3"/>
  <c r="B14" i="3"/>
  <c r="BA13" i="3"/>
  <c r="AY13" i="3"/>
  <c r="AW13" i="3"/>
  <c r="AT13" i="3"/>
  <c r="AV13" i="3" s="1"/>
  <c r="AS13" i="3"/>
  <c r="AR13" i="3"/>
  <c r="AP13" i="3"/>
  <c r="AO13" i="3"/>
  <c r="AL13" i="3"/>
  <c r="AN13" i="3" s="1"/>
  <c r="AK13" i="3"/>
  <c r="AH13" i="3"/>
  <c r="AJ13" i="3" s="1"/>
  <c r="AG13" i="3"/>
  <c r="AD13" i="3"/>
  <c r="AF13" i="3" s="1"/>
  <c r="AC13" i="3"/>
  <c r="AB13" i="3"/>
  <c r="Z13" i="3"/>
  <c r="Y13" i="3"/>
  <c r="V13" i="3"/>
  <c r="X13" i="3" s="1"/>
  <c r="U13" i="3"/>
  <c r="T13" i="3"/>
  <c r="R13" i="3"/>
  <c r="Q13" i="3"/>
  <c r="N13" i="3"/>
  <c r="P13" i="3" s="1"/>
  <c r="M13" i="3"/>
  <c r="L13" i="3"/>
  <c r="I13" i="3"/>
  <c r="H13" i="3"/>
  <c r="F13" i="3"/>
  <c r="E13" i="3"/>
  <c r="B13" i="3"/>
  <c r="BA12" i="3"/>
  <c r="AY12" i="3"/>
  <c r="AW12" i="3"/>
  <c r="AV12" i="3"/>
  <c r="AT12" i="3"/>
  <c r="AS12" i="3"/>
  <c r="AP12" i="3"/>
  <c r="AR12" i="3" s="1"/>
  <c r="AO12" i="3"/>
  <c r="AL12" i="3"/>
  <c r="AN12" i="3" s="1"/>
  <c r="AK12" i="3"/>
  <c r="AH12" i="3"/>
  <c r="AJ12" i="3" s="1"/>
  <c r="AG12" i="3"/>
  <c r="AF12" i="3"/>
  <c r="AC12" i="3"/>
  <c r="Z12" i="3"/>
  <c r="Y12" i="3"/>
  <c r="V12" i="3"/>
  <c r="X12" i="3" s="1"/>
  <c r="U12" i="3"/>
  <c r="R12" i="3"/>
  <c r="T12" i="3" s="1"/>
  <c r="Q12" i="3"/>
  <c r="P12" i="3"/>
  <c r="N12" i="3"/>
  <c r="M12" i="3"/>
  <c r="L12" i="3"/>
  <c r="I12" i="3"/>
  <c r="F12" i="3"/>
  <c r="H12" i="3" s="1"/>
  <c r="E12" i="3"/>
  <c r="D12" i="3"/>
  <c r="B12" i="3"/>
  <c r="AU11" i="3"/>
  <c r="AW11" i="3" s="1"/>
  <c r="AT11" i="3"/>
  <c r="AV11" i="3" s="1"/>
  <c r="AS11" i="3"/>
  <c r="AQ11" i="3"/>
  <c r="AP11" i="3"/>
  <c r="AP17" i="3" s="1"/>
  <c r="AM11" i="3"/>
  <c r="AM17" i="3" s="1"/>
  <c r="AO17" i="3" s="1"/>
  <c r="AL11" i="3"/>
  <c r="AK11" i="3"/>
  <c r="AJ11" i="3"/>
  <c r="AI11" i="3"/>
  <c r="AH11" i="3"/>
  <c r="AE11" i="3"/>
  <c r="AG11" i="3" s="1"/>
  <c r="AD11" i="3"/>
  <c r="AF11" i="3" s="1"/>
  <c r="AA11" i="3"/>
  <c r="AC11" i="3" s="1"/>
  <c r="Z11" i="3"/>
  <c r="AB11" i="3" s="1"/>
  <c r="Y11" i="3"/>
  <c r="X11" i="3"/>
  <c r="W11" i="3"/>
  <c r="W17" i="3" s="1"/>
  <c r="V11" i="3"/>
  <c r="S11" i="3"/>
  <c r="S17" i="3" s="1"/>
  <c r="R11" i="3"/>
  <c r="T11" i="3" s="1"/>
  <c r="O11" i="3"/>
  <c r="Q11" i="3" s="1"/>
  <c r="N11" i="3"/>
  <c r="P11" i="3" s="1"/>
  <c r="K11" i="3"/>
  <c r="J11" i="3"/>
  <c r="J17" i="3" s="1"/>
  <c r="J18" i="3" s="1"/>
  <c r="G11" i="3"/>
  <c r="I11" i="3" s="1"/>
  <c r="E11" i="3"/>
  <c r="D11" i="3"/>
  <c r="C11" i="3"/>
  <c r="B11" i="3"/>
  <c r="BA10" i="3"/>
  <c r="AY10" i="3"/>
  <c r="AW10" i="3"/>
  <c r="AV10" i="3"/>
  <c r="AS10" i="3"/>
  <c r="AR10" i="3"/>
  <c r="AO10" i="3"/>
  <c r="AN10" i="3"/>
  <c r="AK10" i="3"/>
  <c r="AJ10" i="3"/>
  <c r="AG10" i="3"/>
  <c r="AF10" i="3"/>
  <c r="AC10" i="3"/>
  <c r="AB10" i="3"/>
  <c r="Y10" i="3"/>
  <c r="X10" i="3"/>
  <c r="V10" i="3"/>
  <c r="U10" i="3"/>
  <c r="T10" i="3"/>
  <c r="R10" i="3"/>
  <c r="Q10" i="3"/>
  <c r="P10" i="3"/>
  <c r="N10" i="3"/>
  <c r="M10" i="3"/>
  <c r="L10" i="3"/>
  <c r="I10" i="3"/>
  <c r="F10" i="3"/>
  <c r="AX10" i="3" s="1"/>
  <c r="AZ10" i="3" s="1"/>
  <c r="E10" i="3"/>
  <c r="D10" i="3"/>
  <c r="B10" i="3"/>
  <c r="AY9" i="3"/>
  <c r="BA9" i="3" s="1"/>
  <c r="AX9" i="3"/>
  <c r="AZ9" i="3" s="1"/>
  <c r="AW9" i="3"/>
  <c r="AV9" i="3"/>
  <c r="AS9" i="3"/>
  <c r="AR9" i="3"/>
  <c r="AO9" i="3"/>
  <c r="AN9" i="3"/>
  <c r="AK9" i="3"/>
  <c r="AJ9" i="3"/>
  <c r="AG9" i="3"/>
  <c r="AF9" i="3"/>
  <c r="AC9" i="3"/>
  <c r="AB9" i="3"/>
  <c r="Y9" i="3"/>
  <c r="X9" i="3"/>
  <c r="U9" i="3"/>
  <c r="T9" i="3"/>
  <c r="Q9" i="3"/>
  <c r="P9" i="3"/>
  <c r="M9" i="3"/>
  <c r="L9" i="3"/>
  <c r="J9" i="3"/>
  <c r="I9" i="3"/>
  <c r="H9" i="3"/>
  <c r="E9" i="3"/>
  <c r="D9" i="3"/>
  <c r="BA8" i="3"/>
  <c r="AZ8" i="3"/>
  <c r="AY8" i="3"/>
  <c r="AX8" i="3"/>
  <c r="AW8" i="3"/>
  <c r="AV8" i="3"/>
  <c r="AS8" i="3"/>
  <c r="AR8" i="3"/>
  <c r="AO8" i="3"/>
  <c r="AN8" i="3"/>
  <c r="AK8" i="3"/>
  <c r="AJ8" i="3"/>
  <c r="AG8" i="3"/>
  <c r="AF8" i="3"/>
  <c r="AC8" i="3"/>
  <c r="AB8" i="3"/>
  <c r="Y8" i="3"/>
  <c r="X8" i="3"/>
  <c r="U8" i="3"/>
  <c r="T8" i="3"/>
  <c r="Q8" i="3"/>
  <c r="P8" i="3"/>
  <c r="M8" i="3"/>
  <c r="L8" i="3"/>
  <c r="I8" i="3"/>
  <c r="H8" i="3"/>
  <c r="E8" i="3"/>
  <c r="D8" i="3"/>
  <c r="AZ96" i="7" l="1"/>
  <c r="BA96" i="7"/>
  <c r="AZ95" i="7"/>
  <c r="BA95" i="7"/>
  <c r="AZ94" i="7"/>
  <c r="BA94" i="7"/>
  <c r="AX97" i="7"/>
  <c r="AZ97" i="7" s="1"/>
  <c r="D97" i="7"/>
  <c r="AZ93" i="7"/>
  <c r="BA93" i="7"/>
  <c r="AZ90" i="7"/>
  <c r="BA90" i="7"/>
  <c r="AZ89" i="7"/>
  <c r="BA89" i="7"/>
  <c r="AZ88" i="7"/>
  <c r="BA88" i="7"/>
  <c r="AZ87" i="7"/>
  <c r="BA87" i="7"/>
  <c r="D91" i="7"/>
  <c r="AX91" i="7"/>
  <c r="AZ91" i="7" s="1"/>
  <c r="AZ86" i="7"/>
  <c r="BA86" i="7"/>
  <c r="AZ84" i="7"/>
  <c r="BA84" i="7"/>
  <c r="BA82" i="7"/>
  <c r="AZ82" i="7"/>
  <c r="BA81" i="7"/>
  <c r="AZ81" i="7"/>
  <c r="AZ80" i="7"/>
  <c r="BA80" i="7"/>
  <c r="BA79" i="7"/>
  <c r="AZ79" i="7"/>
  <c r="AX83" i="7"/>
  <c r="AZ83" i="7" s="1"/>
  <c r="D83" i="7"/>
  <c r="BA75" i="7"/>
  <c r="AZ75" i="7"/>
  <c r="AX76" i="7"/>
  <c r="AZ76" i="7" s="1"/>
  <c r="D76" i="7"/>
  <c r="AZ74" i="7"/>
  <c r="BA74" i="7"/>
  <c r="BA72" i="7"/>
  <c r="AZ72" i="7"/>
  <c r="BA71" i="7"/>
  <c r="AZ71" i="7"/>
  <c r="AZ70" i="7"/>
  <c r="BA70" i="7"/>
  <c r="BA68" i="7"/>
  <c r="AZ68" i="7"/>
  <c r="AZ67" i="7"/>
  <c r="BA67" i="7"/>
  <c r="BA66" i="7"/>
  <c r="AZ66" i="7"/>
  <c r="BA65" i="7"/>
  <c r="AZ65" i="7"/>
  <c r="AZ64" i="7"/>
  <c r="BA64" i="7"/>
  <c r="D69" i="7"/>
  <c r="AX69" i="7"/>
  <c r="AZ69" i="7" s="1"/>
  <c r="BA63" i="7"/>
  <c r="AZ63" i="7"/>
  <c r="BA62" i="7"/>
  <c r="AZ62" i="7"/>
  <c r="AZ60" i="7"/>
  <c r="BA60" i="7"/>
  <c r="AZ59" i="7"/>
  <c r="BA59" i="7"/>
  <c r="AZ57" i="7"/>
  <c r="BA57" i="7"/>
  <c r="AZ56" i="7"/>
  <c r="BA56" i="7"/>
  <c r="D58" i="7"/>
  <c r="AX58" i="7"/>
  <c r="AZ58" i="7" s="1"/>
  <c r="AZ55" i="7"/>
  <c r="BA55" i="7"/>
  <c r="AZ53" i="7"/>
  <c r="BA53" i="7"/>
  <c r="AZ52" i="7"/>
  <c r="BA52" i="7"/>
  <c r="AZ50" i="7"/>
  <c r="BA50" i="7"/>
  <c r="AZ48" i="7"/>
  <c r="BA48" i="7"/>
  <c r="AZ47" i="7"/>
  <c r="BA47" i="7"/>
  <c r="D49" i="7"/>
  <c r="AX49" i="7"/>
  <c r="AZ49" i="7" s="1"/>
  <c r="AZ46" i="7"/>
  <c r="BA46" i="7"/>
  <c r="AZ44" i="7"/>
  <c r="BA44" i="7"/>
  <c r="D43" i="7"/>
  <c r="AX43" i="7"/>
  <c r="AZ43" i="7" s="1"/>
  <c r="AZ42" i="7"/>
  <c r="BA42" i="7"/>
  <c r="E51" i="7"/>
  <c r="AY51" i="7"/>
  <c r="BA51" i="7" s="1"/>
  <c r="AZ39" i="7"/>
  <c r="BA39" i="7"/>
  <c r="AZ38" i="7"/>
  <c r="BA38" i="7"/>
  <c r="AZ37" i="7"/>
  <c r="BA37" i="7"/>
  <c r="AV40" i="7"/>
  <c r="AT51" i="7"/>
  <c r="AV51" i="7" s="1"/>
  <c r="AR40" i="7"/>
  <c r="AP51" i="7"/>
  <c r="AR51" i="7" s="1"/>
  <c r="AN40" i="7"/>
  <c r="AL51" i="7"/>
  <c r="AN51" i="7" s="1"/>
  <c r="AJ40" i="7"/>
  <c r="AH51" i="7"/>
  <c r="AJ51" i="7" s="1"/>
  <c r="AF40" i="7"/>
  <c r="AD51" i="7"/>
  <c r="AF51" i="7" s="1"/>
  <c r="AB40" i="7"/>
  <c r="Z51" i="7"/>
  <c r="AB51" i="7" s="1"/>
  <c r="X40" i="7"/>
  <c r="V51" i="7"/>
  <c r="X51" i="7" s="1"/>
  <c r="T40" i="7"/>
  <c r="R51" i="7"/>
  <c r="T51" i="7" s="1"/>
  <c r="P40" i="7"/>
  <c r="N51" i="7"/>
  <c r="P51" i="7" s="1"/>
  <c r="L40" i="7"/>
  <c r="J51" i="7"/>
  <c r="L51" i="7" s="1"/>
  <c r="H40" i="7"/>
  <c r="F51" i="7"/>
  <c r="H51" i="7" s="1"/>
  <c r="D40" i="7"/>
  <c r="AX40" i="7"/>
  <c r="AZ40" i="7" s="1"/>
  <c r="B51" i="7"/>
  <c r="AZ36" i="7"/>
  <c r="BA36" i="7"/>
  <c r="BA33" i="7"/>
  <c r="AZ33" i="7"/>
  <c r="AZ32" i="7"/>
  <c r="BA32" i="7"/>
  <c r="AZ31" i="7"/>
  <c r="BA31" i="7"/>
  <c r="D29" i="7"/>
  <c r="AX29" i="7"/>
  <c r="AZ29" i="7" s="1"/>
  <c r="AZ28" i="7"/>
  <c r="BA28" i="7"/>
  <c r="BA27" i="7"/>
  <c r="AZ27" i="7"/>
  <c r="E98" i="7"/>
  <c r="AY98" i="7"/>
  <c r="BA98" i="7" s="1"/>
  <c r="AZ24" i="7"/>
  <c r="BA24" i="7"/>
  <c r="AZ23" i="7"/>
  <c r="BA23" i="7"/>
  <c r="AV25" i="7"/>
  <c r="AT98" i="7"/>
  <c r="AV98" i="7" s="1"/>
  <c r="AR25" i="7"/>
  <c r="AP98" i="7"/>
  <c r="AR98" i="7" s="1"/>
  <c r="AN25" i="7"/>
  <c r="AL98" i="7"/>
  <c r="AN98" i="7" s="1"/>
  <c r="AJ25" i="7"/>
  <c r="AH98" i="7"/>
  <c r="AJ98" i="7" s="1"/>
  <c r="AF25" i="7"/>
  <c r="AD98" i="7"/>
  <c r="AF98" i="7" s="1"/>
  <c r="AB25" i="7"/>
  <c r="Z98" i="7"/>
  <c r="AB98" i="7" s="1"/>
  <c r="X25" i="7"/>
  <c r="V98" i="7"/>
  <c r="X98" i="7" s="1"/>
  <c r="T25" i="7"/>
  <c r="R98" i="7"/>
  <c r="T98" i="7" s="1"/>
  <c r="P25" i="7"/>
  <c r="N98" i="7"/>
  <c r="P98" i="7" s="1"/>
  <c r="L25" i="7"/>
  <c r="J98" i="7"/>
  <c r="L98" i="7" s="1"/>
  <c r="H25" i="7"/>
  <c r="F98" i="7"/>
  <c r="H98" i="7" s="1"/>
  <c r="D25" i="7"/>
  <c r="AX25" i="7"/>
  <c r="B98" i="7"/>
  <c r="Y18" i="7"/>
  <c r="W99" i="7"/>
  <c r="U18" i="7"/>
  <c r="S99" i="7"/>
  <c r="Q18" i="7"/>
  <c r="O99" i="7"/>
  <c r="M18" i="7"/>
  <c r="K99" i="7"/>
  <c r="I18" i="7"/>
  <c r="G99" i="7"/>
  <c r="E18" i="7"/>
  <c r="C99" i="7"/>
  <c r="AZ16" i="7"/>
  <c r="BA16" i="7"/>
  <c r="AZ15" i="7"/>
  <c r="BA15" i="7"/>
  <c r="AZ14" i="7"/>
  <c r="BA14" i="7"/>
  <c r="AZ13" i="7"/>
  <c r="BA13" i="7"/>
  <c r="AZ12" i="7"/>
  <c r="BA12" i="7"/>
  <c r="AW17" i="7"/>
  <c r="AU18" i="7"/>
  <c r="AV17" i="7"/>
  <c r="AT18" i="7"/>
  <c r="AS17" i="7"/>
  <c r="AQ18" i="7"/>
  <c r="AR17" i="7"/>
  <c r="AP18" i="7"/>
  <c r="AO17" i="7"/>
  <c r="AM18" i="7"/>
  <c r="AN17" i="7"/>
  <c r="AL18" i="7"/>
  <c r="AK17" i="7"/>
  <c r="AI18" i="7"/>
  <c r="AJ17" i="7"/>
  <c r="AH18" i="7"/>
  <c r="AG17" i="7"/>
  <c r="AE18" i="7"/>
  <c r="AF17" i="7"/>
  <c r="AD18" i="7"/>
  <c r="AC17" i="7"/>
  <c r="AA18" i="7"/>
  <c r="AY18" i="7" s="1"/>
  <c r="BA18" i="7" s="1"/>
  <c r="AB17" i="7"/>
  <c r="Z18" i="7"/>
  <c r="X11" i="7"/>
  <c r="V17" i="7"/>
  <c r="T11" i="7"/>
  <c r="R17" i="7"/>
  <c r="P11" i="7"/>
  <c r="N17" i="7"/>
  <c r="H11" i="7"/>
  <c r="F17" i="7"/>
  <c r="AZ10" i="7"/>
  <c r="BA10" i="7"/>
  <c r="D11" i="7"/>
  <c r="B17" i="7"/>
  <c r="AX11" i="7"/>
  <c r="L11" i="7"/>
  <c r="J17" i="7"/>
  <c r="AZ9" i="7"/>
  <c r="BA9" i="7"/>
  <c r="Q17" i="3"/>
  <c r="O18" i="3"/>
  <c r="AR17" i="3"/>
  <c r="AP18" i="3"/>
  <c r="L11" i="3"/>
  <c r="AD51" i="3"/>
  <c r="AF51" i="3" s="1"/>
  <c r="AF40" i="3"/>
  <c r="J51" i="3"/>
  <c r="L51" i="3" s="1"/>
  <c r="L40" i="3"/>
  <c r="AN11" i="3"/>
  <c r="AL17" i="3"/>
  <c r="L17" i="3"/>
  <c r="AI99" i="3"/>
  <c r="AK18" i="3"/>
  <c r="AB21" i="3"/>
  <c r="Z25" i="3"/>
  <c r="AX80" i="3"/>
  <c r="AZ80" i="3" s="1"/>
  <c r="D80" i="3"/>
  <c r="M11" i="3"/>
  <c r="K17" i="3"/>
  <c r="N40" i="3"/>
  <c r="P38" i="3"/>
  <c r="AX38" i="3"/>
  <c r="AZ38" i="3" s="1"/>
  <c r="AJ27" i="3"/>
  <c r="AH29" i="3"/>
  <c r="AJ29" i="3" s="1"/>
  <c r="AH51" i="3"/>
  <c r="AJ51" i="3" s="1"/>
  <c r="AJ40" i="3"/>
  <c r="AJ37" i="3"/>
  <c r="C51" i="3"/>
  <c r="E43" i="3"/>
  <c r="AY43" i="3"/>
  <c r="BA43" i="3" s="1"/>
  <c r="U11" i="3"/>
  <c r="D15" i="3"/>
  <c r="AH17" i="3"/>
  <c r="AU98" i="3"/>
  <c r="AW25" i="3"/>
  <c r="BA35" i="3"/>
  <c r="AF36" i="3"/>
  <c r="AX55" i="3"/>
  <c r="AZ55" i="3" s="1"/>
  <c r="F58" i="3"/>
  <c r="H58" i="3" s="1"/>
  <c r="H55" i="3"/>
  <c r="BA78" i="3"/>
  <c r="S98" i="3"/>
  <c r="U98" i="3" s="1"/>
  <c r="AR11" i="3"/>
  <c r="AV25" i="3"/>
  <c r="Z51" i="3"/>
  <c r="AP58" i="3"/>
  <c r="AR58" i="3" s="1"/>
  <c r="AR55" i="3"/>
  <c r="D75" i="3"/>
  <c r="B76" i="3"/>
  <c r="V17" i="3"/>
  <c r="AX16" i="3"/>
  <c r="AZ16" i="3" s="1"/>
  <c r="AY25" i="3"/>
  <c r="BA25" i="3" s="1"/>
  <c r="AY29" i="3"/>
  <c r="BA29" i="3" s="1"/>
  <c r="I29" i="3"/>
  <c r="AL29" i="3"/>
  <c r="AN29" i="3" s="1"/>
  <c r="AX36" i="3"/>
  <c r="AZ36" i="3" s="1"/>
  <c r="AB40" i="3"/>
  <c r="AX52" i="3"/>
  <c r="AZ52" i="3" s="1"/>
  <c r="AX53" i="3"/>
  <c r="AZ53" i="3" s="1"/>
  <c r="AJ53" i="3"/>
  <c r="AX70" i="3"/>
  <c r="AZ70" i="3" s="1"/>
  <c r="D79" i="3"/>
  <c r="AX79" i="3"/>
  <c r="AZ79" i="3" s="1"/>
  <c r="B83" i="3"/>
  <c r="AP83" i="3"/>
  <c r="AR83" i="3" s="1"/>
  <c r="AX88" i="3"/>
  <c r="AZ88" i="3" s="1"/>
  <c r="F91" i="3"/>
  <c r="H91" i="3" s="1"/>
  <c r="AD98" i="3"/>
  <c r="AF98" i="3" s="1"/>
  <c r="Y17" i="3"/>
  <c r="W18" i="3"/>
  <c r="F25" i="3"/>
  <c r="H21" i="3"/>
  <c r="T25" i="3"/>
  <c r="AM98" i="3"/>
  <c r="AO98" i="3" s="1"/>
  <c r="AO29" i="3"/>
  <c r="D36" i="3"/>
  <c r="AX37" i="3"/>
  <c r="AZ37" i="3" s="1"/>
  <c r="P47" i="3"/>
  <c r="E83" i="3"/>
  <c r="AY83" i="3"/>
  <c r="BA83" i="3" s="1"/>
  <c r="H88" i="3"/>
  <c r="D96" i="3"/>
  <c r="AX96" i="3"/>
  <c r="AZ96" i="3" s="1"/>
  <c r="AK17" i="3"/>
  <c r="AL25" i="3"/>
  <c r="AN24" i="3"/>
  <c r="D29" i="3"/>
  <c r="AF65" i="3"/>
  <c r="AR86" i="3"/>
  <c r="AV57" i="3"/>
  <c r="AT58" i="3"/>
  <c r="AV58" i="3" s="1"/>
  <c r="W98" i="3"/>
  <c r="Y98" i="3" s="1"/>
  <c r="Y25" i="3"/>
  <c r="AX46" i="3"/>
  <c r="AZ46" i="3" s="1"/>
  <c r="F49" i="3"/>
  <c r="H49" i="3" s="1"/>
  <c r="T47" i="3"/>
  <c r="R49" i="3"/>
  <c r="T49" i="3" s="1"/>
  <c r="AY49" i="3"/>
  <c r="BA49" i="3" s="1"/>
  <c r="L86" i="3"/>
  <c r="J91" i="3"/>
  <c r="L91" i="3" s="1"/>
  <c r="AP29" i="3"/>
  <c r="AR29" i="3" s="1"/>
  <c r="AR26" i="3"/>
  <c r="P33" i="3"/>
  <c r="H46" i="3"/>
  <c r="AY58" i="3"/>
  <c r="BA58" i="3" s="1"/>
  <c r="AL58" i="3"/>
  <c r="AN58" i="3" s="1"/>
  <c r="AX65" i="3"/>
  <c r="AZ65" i="3" s="1"/>
  <c r="AP69" i="3"/>
  <c r="AR69" i="3" s="1"/>
  <c r="Z83" i="3"/>
  <c r="AB83" i="3" s="1"/>
  <c r="AX90" i="3"/>
  <c r="AZ90" i="3" s="1"/>
  <c r="AX47" i="3"/>
  <c r="AZ47" i="3" s="1"/>
  <c r="H47" i="3"/>
  <c r="L47" i="3"/>
  <c r="B17" i="3"/>
  <c r="AS17" i="3"/>
  <c r="AQ18" i="3"/>
  <c r="N25" i="3"/>
  <c r="P21" i="3"/>
  <c r="AZ50" i="3"/>
  <c r="P75" i="3"/>
  <c r="N76" i="3"/>
  <c r="P76" i="3" s="1"/>
  <c r="AH25" i="3"/>
  <c r="AJ21" i="3"/>
  <c r="B25" i="3"/>
  <c r="AX21" i="3"/>
  <c r="AZ21" i="3" s="1"/>
  <c r="AY11" i="3"/>
  <c r="BA11" i="3" s="1"/>
  <c r="AX14" i="3"/>
  <c r="AZ14" i="3" s="1"/>
  <c r="AT17" i="3"/>
  <c r="D50" i="3"/>
  <c r="AX75" i="3"/>
  <c r="AZ75" i="3" s="1"/>
  <c r="AB82" i="3"/>
  <c r="U17" i="3"/>
  <c r="S18" i="3"/>
  <c r="AB27" i="3"/>
  <c r="F40" i="3"/>
  <c r="AT69" i="3"/>
  <c r="AV69" i="3" s="1"/>
  <c r="AV63" i="3"/>
  <c r="AJ74" i="3"/>
  <c r="AH69" i="3"/>
  <c r="AJ69" i="3" s="1"/>
  <c r="AX62" i="3"/>
  <c r="AZ62" i="3" s="1"/>
  <c r="AJ62" i="3"/>
  <c r="X79" i="3"/>
  <c r="V83" i="3"/>
  <c r="X83" i="3" s="1"/>
  <c r="R17" i="3"/>
  <c r="V29" i="3"/>
  <c r="X29" i="3" s="1"/>
  <c r="AX26" i="3"/>
  <c r="AZ26" i="3" s="1"/>
  <c r="X26" i="3"/>
  <c r="X36" i="3"/>
  <c r="V40" i="3"/>
  <c r="R51" i="3"/>
  <c r="T40" i="3"/>
  <c r="D13" i="3"/>
  <c r="AX13" i="3"/>
  <c r="AZ13" i="3" s="1"/>
  <c r="AX27" i="3"/>
  <c r="AZ27" i="3" s="1"/>
  <c r="T38" i="3"/>
  <c r="AH49" i="3"/>
  <c r="AJ49" i="3" s="1"/>
  <c r="AO11" i="3"/>
  <c r="AF21" i="3"/>
  <c r="H27" i="3"/>
  <c r="BA54" i="3"/>
  <c r="L80" i="3"/>
  <c r="J83" i="3"/>
  <c r="L83" i="3" s="1"/>
  <c r="AF29" i="3"/>
  <c r="AR37" i="3"/>
  <c r="AP40" i="3"/>
  <c r="AX39" i="3"/>
  <c r="AZ39" i="3" s="1"/>
  <c r="D39" i="3"/>
  <c r="O51" i="3"/>
  <c r="Q51" i="3" s="1"/>
  <c r="D58" i="3"/>
  <c r="AX58" i="3"/>
  <c r="AZ58" i="3" s="1"/>
  <c r="AX66" i="3"/>
  <c r="AZ66" i="3" s="1"/>
  <c r="D66" i="3"/>
  <c r="H72" i="3"/>
  <c r="AF79" i="3"/>
  <c r="AD83" i="3"/>
  <c r="AF83" i="3" s="1"/>
  <c r="H10" i="3"/>
  <c r="F11" i="3"/>
  <c r="Z17" i="3"/>
  <c r="AB12" i="3"/>
  <c r="X48" i="3"/>
  <c r="AX48" i="3"/>
  <c r="AZ48" i="3" s="1"/>
  <c r="H28" i="3"/>
  <c r="B40" i="3"/>
  <c r="D14" i="3"/>
  <c r="AM18" i="3"/>
  <c r="AX22" i="3"/>
  <c r="AZ22" i="3" s="1"/>
  <c r="AA51" i="3"/>
  <c r="AC51" i="3" s="1"/>
  <c r="AC43" i="3"/>
  <c r="AP49" i="3"/>
  <c r="AR49" i="3" s="1"/>
  <c r="AR46" i="3"/>
  <c r="L63" i="3"/>
  <c r="D93" i="3"/>
  <c r="AX93" i="3"/>
  <c r="AZ93" i="3" s="1"/>
  <c r="B97" i="3"/>
  <c r="AH97" i="3"/>
  <c r="AJ97" i="3" s="1"/>
  <c r="AT40" i="3"/>
  <c r="I40" i="3"/>
  <c r="G51" i="3"/>
  <c r="I51" i="3" s="1"/>
  <c r="L84" i="3"/>
  <c r="AX84" i="3"/>
  <c r="AZ84" i="3" s="1"/>
  <c r="F97" i="3"/>
  <c r="H97" i="3" s="1"/>
  <c r="AQ98" i="3"/>
  <c r="AS98" i="3" s="1"/>
  <c r="J98" i="3"/>
  <c r="L98" i="3" s="1"/>
  <c r="R69" i="3"/>
  <c r="T69" i="3" s="1"/>
  <c r="D31" i="3"/>
  <c r="AX31" i="3"/>
  <c r="AZ31" i="3" s="1"/>
  <c r="T63" i="3"/>
  <c r="B69" i="3"/>
  <c r="AX74" i="3"/>
  <c r="AZ74" i="3" s="1"/>
  <c r="AB75" i="3"/>
  <c r="AJ82" i="3"/>
  <c r="AX86" i="3"/>
  <c r="AZ86" i="3" s="1"/>
  <c r="AC25" i="3"/>
  <c r="AL40" i="3"/>
  <c r="AX71" i="3"/>
  <c r="AZ71" i="3" s="1"/>
  <c r="V91" i="3"/>
  <c r="X91" i="3" s="1"/>
  <c r="AP25" i="3"/>
  <c r="AR21" i="3"/>
  <c r="AE98" i="3"/>
  <c r="AG98" i="3" s="1"/>
  <c r="AT29" i="3"/>
  <c r="AV29" i="3" s="1"/>
  <c r="L32" i="3"/>
  <c r="AX57" i="3"/>
  <c r="AZ57" i="3" s="1"/>
  <c r="D71" i="3"/>
  <c r="AX95" i="3"/>
  <c r="AZ95" i="3" s="1"/>
  <c r="AX60" i="3"/>
  <c r="AZ60" i="3" s="1"/>
  <c r="AX11" i="3"/>
  <c r="AZ11" i="3" s="1"/>
  <c r="H60" i="3"/>
  <c r="AX77" i="3"/>
  <c r="AZ77" i="3" s="1"/>
  <c r="AV77" i="3"/>
  <c r="N83" i="3"/>
  <c r="P83" i="3" s="1"/>
  <c r="P79" i="3"/>
  <c r="AY91" i="3"/>
  <c r="BA91" i="3" s="1"/>
  <c r="I25" i="3"/>
  <c r="AX59" i="3"/>
  <c r="AZ59" i="3" s="1"/>
  <c r="AX12" i="3"/>
  <c r="AZ12" i="3" s="1"/>
  <c r="K98" i="3"/>
  <c r="M98" i="3" s="1"/>
  <c r="AZ34" i="3"/>
  <c r="AV43" i="3"/>
  <c r="D59" i="3"/>
  <c r="AN75" i="3"/>
  <c r="AL97" i="3"/>
  <c r="AN97" i="3" s="1"/>
  <c r="AT97" i="3"/>
  <c r="AV97" i="3" s="1"/>
  <c r="AD17" i="3"/>
  <c r="AE17" i="3"/>
  <c r="C18" i="3"/>
  <c r="V25" i="3"/>
  <c r="M25" i="3"/>
  <c r="AX30" i="3"/>
  <c r="AZ30" i="3" s="1"/>
  <c r="B43" i="3"/>
  <c r="AX81" i="3"/>
  <c r="AZ81" i="3" s="1"/>
  <c r="AX87" i="3"/>
  <c r="AZ87" i="3" s="1"/>
  <c r="H94" i="3"/>
  <c r="AX94" i="3"/>
  <c r="AZ94" i="3" s="1"/>
  <c r="AN94" i="3"/>
  <c r="N97" i="3"/>
  <c r="P97" i="3" s="1"/>
  <c r="H81" i="3"/>
  <c r="L21" i="3"/>
  <c r="D51" i="7" l="1"/>
  <c r="AX51" i="7"/>
  <c r="AZ51" i="7" s="1"/>
  <c r="BA25" i="7"/>
  <c r="AZ25" i="7"/>
  <c r="D98" i="7"/>
  <c r="AX98" i="7"/>
  <c r="AZ98" i="7" s="1"/>
  <c r="Y99" i="7"/>
  <c r="W100" i="7"/>
  <c r="Y100" i="7" s="1"/>
  <c r="U99" i="7"/>
  <c r="S100" i="7"/>
  <c r="U100" i="7" s="1"/>
  <c r="Q99" i="7"/>
  <c r="O100" i="7"/>
  <c r="Q100" i="7" s="1"/>
  <c r="M99" i="7"/>
  <c r="K100" i="7"/>
  <c r="M100" i="7" s="1"/>
  <c r="I99" i="7"/>
  <c r="G100" i="7"/>
  <c r="I100" i="7" s="1"/>
  <c r="E99" i="7"/>
  <c r="C100" i="7"/>
  <c r="AW18" i="7"/>
  <c r="AU99" i="7"/>
  <c r="AV18" i="7"/>
  <c r="AT99" i="7"/>
  <c r="AS18" i="7"/>
  <c r="AQ99" i="7"/>
  <c r="AR18" i="7"/>
  <c r="AP99" i="7"/>
  <c r="AO18" i="7"/>
  <c r="AM99" i="7"/>
  <c r="AY99" i="7" s="1"/>
  <c r="BA99" i="7" s="1"/>
  <c r="AN18" i="7"/>
  <c r="AL99" i="7"/>
  <c r="AK18" i="7"/>
  <c r="AI99" i="7"/>
  <c r="AJ18" i="7"/>
  <c r="AH99" i="7"/>
  <c r="AG18" i="7"/>
  <c r="AE99" i="7"/>
  <c r="AF18" i="7"/>
  <c r="AD99" i="7"/>
  <c r="AC18" i="7"/>
  <c r="AA99" i="7"/>
  <c r="AB18" i="7"/>
  <c r="Z99" i="7"/>
  <c r="X17" i="7"/>
  <c r="V18" i="7"/>
  <c r="T17" i="7"/>
  <c r="R18" i="7"/>
  <c r="P17" i="7"/>
  <c r="N18" i="7"/>
  <c r="H17" i="7"/>
  <c r="F18" i="7"/>
  <c r="D17" i="7"/>
  <c r="AX17" i="7"/>
  <c r="B18" i="7"/>
  <c r="BA11" i="7"/>
  <c r="AZ11" i="7"/>
  <c r="L17" i="7"/>
  <c r="J18" i="7"/>
  <c r="AE18" i="3"/>
  <c r="AG17" i="3"/>
  <c r="X40" i="3"/>
  <c r="V51" i="3"/>
  <c r="X51" i="3" s="1"/>
  <c r="AH18" i="3"/>
  <c r="AJ17" i="3"/>
  <c r="V98" i="3"/>
  <c r="X98" i="3" s="1"/>
  <c r="X25" i="3"/>
  <c r="C99" i="3"/>
  <c r="E18" i="3"/>
  <c r="AX69" i="3"/>
  <c r="AZ69" i="3" s="1"/>
  <c r="D69" i="3"/>
  <c r="AT18" i="3"/>
  <c r="AV17" i="3"/>
  <c r="AX49" i="3"/>
  <c r="AZ49" i="3" s="1"/>
  <c r="AX76" i="3"/>
  <c r="AZ76" i="3" s="1"/>
  <c r="D76" i="3"/>
  <c r="T17" i="3"/>
  <c r="R18" i="3"/>
  <c r="E51" i="3"/>
  <c r="AY51" i="3"/>
  <c r="BA51" i="3" s="1"/>
  <c r="AN25" i="3"/>
  <c r="AR18" i="3"/>
  <c r="AP99" i="3"/>
  <c r="G98" i="3"/>
  <c r="H11" i="3"/>
  <c r="F17" i="3"/>
  <c r="N98" i="3"/>
  <c r="P25" i="3"/>
  <c r="Q18" i="3"/>
  <c r="Z98" i="3"/>
  <c r="AB25" i="3"/>
  <c r="T51" i="3"/>
  <c r="R98" i="3"/>
  <c r="T98" i="3" s="1"/>
  <c r="AK99" i="3"/>
  <c r="AI100" i="3"/>
  <c r="AK100" i="3" s="1"/>
  <c r="W99" i="3"/>
  <c r="Y18" i="3"/>
  <c r="C98" i="3"/>
  <c r="AP98" i="3"/>
  <c r="AR98" i="3" s="1"/>
  <c r="AR25" i="3"/>
  <c r="AQ99" i="3"/>
  <c r="AS18" i="3"/>
  <c r="P40" i="3"/>
  <c r="N51" i="3"/>
  <c r="P51" i="3" s="1"/>
  <c r="AL51" i="3"/>
  <c r="AN51" i="3" s="1"/>
  <c r="AN40" i="3"/>
  <c r="F51" i="3"/>
  <c r="H51" i="3" s="1"/>
  <c r="H40" i="3"/>
  <c r="M17" i="3"/>
  <c r="K18" i="3"/>
  <c r="AY18" i="3" s="1"/>
  <c r="BA18" i="3" s="1"/>
  <c r="P18" i="3"/>
  <c r="F98" i="3"/>
  <c r="H98" i="3" s="1"/>
  <c r="H25" i="3"/>
  <c r="V18" i="3"/>
  <c r="X17" i="3"/>
  <c r="AM99" i="3"/>
  <c r="AO18" i="3"/>
  <c r="AJ25" i="3"/>
  <c r="AH98" i="3"/>
  <c r="AJ98" i="3" s="1"/>
  <c r="AT51" i="3"/>
  <c r="AV51" i="3" s="1"/>
  <c r="AV40" i="3"/>
  <c r="AX43" i="3"/>
  <c r="AZ43" i="3" s="1"/>
  <c r="D43" i="3"/>
  <c r="AY17" i="3"/>
  <c r="BA17" i="3" s="1"/>
  <c r="D97" i="3"/>
  <c r="AX97" i="3"/>
  <c r="AZ97" i="3" s="1"/>
  <c r="B18" i="3"/>
  <c r="D17" i="3"/>
  <c r="AX17" i="3"/>
  <c r="AZ17" i="3" s="1"/>
  <c r="AW98" i="3"/>
  <c r="AU99" i="3"/>
  <c r="AD18" i="3"/>
  <c r="AF17" i="3"/>
  <c r="AN17" i="3"/>
  <c r="AL18" i="3"/>
  <c r="AR40" i="3"/>
  <c r="AP51" i="3"/>
  <c r="AR51" i="3" s="1"/>
  <c r="AX29" i="3"/>
  <c r="AZ29" i="3" s="1"/>
  <c r="AX25" i="3"/>
  <c r="AZ25" i="3" s="1"/>
  <c r="D25" i="3"/>
  <c r="D40" i="3"/>
  <c r="B51" i="3"/>
  <c r="B98" i="3" s="1"/>
  <c r="AX40" i="3"/>
  <c r="AZ40" i="3" s="1"/>
  <c r="AB51" i="3"/>
  <c r="AX83" i="3"/>
  <c r="AZ83" i="3" s="1"/>
  <c r="D83" i="3"/>
  <c r="AT98" i="3"/>
  <c r="AV98" i="3" s="1"/>
  <c r="Z18" i="3"/>
  <c r="AB17" i="3"/>
  <c r="AX91" i="3"/>
  <c r="AZ91" i="3" s="1"/>
  <c r="AA98" i="3"/>
  <c r="S99" i="3"/>
  <c r="U18" i="3"/>
  <c r="O98" i="3"/>
  <c r="Q98" i="3" s="1"/>
  <c r="J99" i="3"/>
  <c r="E100" i="7" l="1"/>
  <c r="AW99" i="7"/>
  <c r="AU100" i="7"/>
  <c r="AW100" i="7" s="1"/>
  <c r="AV99" i="7"/>
  <c r="AT100" i="7"/>
  <c r="AV100" i="7" s="1"/>
  <c r="AS99" i="7"/>
  <c r="AQ100" i="7"/>
  <c r="AS100" i="7" s="1"/>
  <c r="AR99" i="7"/>
  <c r="AP100" i="7"/>
  <c r="AR100" i="7" s="1"/>
  <c r="AO99" i="7"/>
  <c r="AM100" i="7"/>
  <c r="AO100" i="7" s="1"/>
  <c r="AN99" i="7"/>
  <c r="AL100" i="7"/>
  <c r="AN100" i="7" s="1"/>
  <c r="AK99" i="7"/>
  <c r="AI100" i="7"/>
  <c r="AK100" i="7" s="1"/>
  <c r="AJ99" i="7"/>
  <c r="AH100" i="7"/>
  <c r="AJ100" i="7" s="1"/>
  <c r="AG99" i="7"/>
  <c r="AE100" i="7"/>
  <c r="AG100" i="7" s="1"/>
  <c r="AF99" i="7"/>
  <c r="AD100" i="7"/>
  <c r="AF100" i="7" s="1"/>
  <c r="AC99" i="7"/>
  <c r="AA100" i="7"/>
  <c r="AB99" i="7"/>
  <c r="Z100" i="7"/>
  <c r="AB100" i="7" s="1"/>
  <c r="X18" i="7"/>
  <c r="V99" i="7"/>
  <c r="T18" i="7"/>
  <c r="R99" i="7"/>
  <c r="P18" i="7"/>
  <c r="N99" i="7"/>
  <c r="H18" i="7"/>
  <c r="F99" i="7"/>
  <c r="BA17" i="7"/>
  <c r="AZ17" i="7"/>
  <c r="D18" i="7"/>
  <c r="AX18" i="7"/>
  <c r="AZ18" i="7" s="1"/>
  <c r="B99" i="7"/>
  <c r="L18" i="7"/>
  <c r="J99" i="7"/>
  <c r="D98" i="3"/>
  <c r="V99" i="3"/>
  <c r="X18" i="3"/>
  <c r="R99" i="3"/>
  <c r="T18" i="3"/>
  <c r="AV18" i="3"/>
  <c r="AT99" i="3"/>
  <c r="AO99" i="3"/>
  <c r="AM100" i="3"/>
  <c r="AO100" i="3" s="1"/>
  <c r="U99" i="3"/>
  <c r="S100" i="3"/>
  <c r="U100" i="3" s="1"/>
  <c r="AD99" i="3"/>
  <c r="AF18" i="3"/>
  <c r="AB18" i="3"/>
  <c r="Z99" i="3"/>
  <c r="AC98" i="3"/>
  <c r="AA99" i="3"/>
  <c r="I98" i="3"/>
  <c r="G99" i="3"/>
  <c r="AR99" i="3"/>
  <c r="AP100" i="3"/>
  <c r="AB98" i="3"/>
  <c r="P98" i="3"/>
  <c r="N99" i="3"/>
  <c r="AS99" i="3"/>
  <c r="AQ100" i="3"/>
  <c r="AS100" i="3" s="1"/>
  <c r="AY98" i="3"/>
  <c r="BA98" i="3" s="1"/>
  <c r="E98" i="3"/>
  <c r="J100" i="3"/>
  <c r="Y99" i="3"/>
  <c r="W100" i="3"/>
  <c r="Y100" i="3" s="1"/>
  <c r="AN18" i="3"/>
  <c r="AU100" i="3"/>
  <c r="AW100" i="3" s="1"/>
  <c r="AW99" i="3"/>
  <c r="M18" i="3"/>
  <c r="K99" i="3"/>
  <c r="L18" i="3"/>
  <c r="O99" i="3"/>
  <c r="B99" i="3"/>
  <c r="D18" i="3"/>
  <c r="E99" i="3"/>
  <c r="C100" i="3"/>
  <c r="H17" i="3"/>
  <c r="F18" i="3"/>
  <c r="AX51" i="3"/>
  <c r="AZ51" i="3" s="1"/>
  <c r="D51" i="3"/>
  <c r="AH99" i="3"/>
  <c r="AJ18" i="3"/>
  <c r="AL98" i="3"/>
  <c r="AN98" i="3" s="1"/>
  <c r="AG18" i="3"/>
  <c r="AE99" i="3"/>
  <c r="X99" i="7" l="1"/>
  <c r="V100" i="7"/>
  <c r="X100" i="7" s="1"/>
  <c r="T99" i="7"/>
  <c r="R100" i="7"/>
  <c r="T100" i="7" s="1"/>
  <c r="P99" i="7"/>
  <c r="N100" i="7"/>
  <c r="P100" i="7" s="1"/>
  <c r="H99" i="7"/>
  <c r="F100" i="7"/>
  <c r="H100" i="7" s="1"/>
  <c r="D99" i="7"/>
  <c r="AX99" i="7"/>
  <c r="AZ99" i="7" s="1"/>
  <c r="B100" i="7"/>
  <c r="L99" i="7"/>
  <c r="J100" i="7"/>
  <c r="L100" i="7" s="1"/>
  <c r="AC100" i="7"/>
  <c r="AY100" i="7"/>
  <c r="BA100" i="7" s="1"/>
  <c r="M99" i="3"/>
  <c r="K100" i="3"/>
  <c r="M100" i="3" s="1"/>
  <c r="AG99" i="3"/>
  <c r="AE100" i="3"/>
  <c r="AG100" i="3" s="1"/>
  <c r="AB99" i="3"/>
  <c r="Z100" i="3"/>
  <c r="AL99" i="3"/>
  <c r="D99" i="3"/>
  <c r="B100" i="3"/>
  <c r="AX99" i="3"/>
  <c r="AZ99" i="3" s="1"/>
  <c r="T99" i="3"/>
  <c r="R100" i="3"/>
  <c r="T100" i="3" s="1"/>
  <c r="AX98" i="3"/>
  <c r="AZ98" i="3" s="1"/>
  <c r="G100" i="3"/>
  <c r="I100" i="3" s="1"/>
  <c r="I99" i="3"/>
  <c r="AA100" i="3"/>
  <c r="AC100" i="3" s="1"/>
  <c r="AC99" i="3"/>
  <c r="AF99" i="3"/>
  <c r="AD100" i="3"/>
  <c r="AF100" i="3" s="1"/>
  <c r="AJ99" i="3"/>
  <c r="AH100" i="3"/>
  <c r="AJ100" i="3" s="1"/>
  <c r="L100" i="3"/>
  <c r="L99" i="3"/>
  <c r="H18" i="3"/>
  <c r="F99" i="3"/>
  <c r="AV99" i="3"/>
  <c r="AT100" i="3"/>
  <c r="AV100" i="3" s="1"/>
  <c r="AY99" i="3"/>
  <c r="BA99" i="3" s="1"/>
  <c r="E100" i="3"/>
  <c r="P99" i="3"/>
  <c r="N100" i="3"/>
  <c r="X99" i="3"/>
  <c r="V100" i="3"/>
  <c r="X100" i="3" s="1"/>
  <c r="AX18" i="3"/>
  <c r="AZ18" i="3" s="1"/>
  <c r="AR100" i="3"/>
  <c r="Q99" i="3"/>
  <c r="O100" i="3"/>
  <c r="Q100" i="3" s="1"/>
  <c r="D100" i="7" l="1"/>
  <c r="AX100" i="7"/>
  <c r="AZ100" i="7" s="1"/>
  <c r="D100" i="3"/>
  <c r="AB100" i="3"/>
  <c r="P100" i="3"/>
  <c r="AY100" i="3"/>
  <c r="BA100" i="3" s="1"/>
  <c r="AN99" i="3"/>
  <c r="AL100" i="3"/>
  <c r="AN100" i="3" s="1"/>
  <c r="H99" i="3"/>
  <c r="F100" i="3"/>
  <c r="H100" i="3" s="1"/>
  <c r="B66" i="2"/>
  <c r="B55" i="2"/>
  <c r="B51" i="2"/>
  <c r="B47" i="2"/>
  <c r="B39" i="2"/>
  <c r="B52" i="2" s="1"/>
  <c r="B56" i="2" s="1"/>
  <c r="B67" i="2" s="1"/>
  <c r="B32" i="2"/>
  <c r="B29" i="2"/>
  <c r="B24" i="2"/>
  <c r="B18" i="2"/>
  <c r="B13" i="2"/>
  <c r="B15" i="2" s="1"/>
  <c r="B25" i="2" s="1"/>
  <c r="B33" i="2" s="1"/>
  <c r="AX100" i="3" l="1"/>
  <c r="AZ100" i="3" s="1"/>
</calcChain>
</file>

<file path=xl/sharedStrings.xml><?xml version="1.0" encoding="utf-8"?>
<sst xmlns="http://schemas.openxmlformats.org/spreadsheetml/2006/main" count="492" uniqueCount="265">
  <si>
    <t>Balance Sheet</t>
  </si>
  <si>
    <t>Berthoud Community Library District</t>
  </si>
  <si>
    <t>As of December 31, 2025</t>
  </si>
  <si>
    <t>Distribution account</t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</si>
  <si>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</si>
  <si>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</si>
  <si>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</si>
  <si>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</si>
  <si>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</si>
  <si>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</si>
  <si>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</si>
  <si>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</si>
  <si>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</si>
  <si>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</si>
  <si>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</si>
  <si>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</si>
  <si>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12000 Property Taxes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</si>
  <si>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</si>
  <si>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</si>
  <si>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</si>
  <si>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</si>
  <si>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</si>
  <si>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</si>
  <si>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</si>
  <si>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</si>
  <si>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</si>
  <si>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</si>
  <si>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</si>
  <si>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</si>
  <si>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</si>
  <si>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</si>
  <si>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</si>
  <si>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</si>
  <si>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</si>
  <si>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</si>
  <si>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</si>
  <si>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</si>
  <si>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</si>
  <si>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</si>
  <si>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Credit Cards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</si>
  <si>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</si>
  <si>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</si>
  <si>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</si>
  <si>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</si>
  <si>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</si>
  <si>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</si>
  <si>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</si>
  <si>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</si>
  <si>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23000 Deferred Infows Property Taxes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</si>
  <si>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</si>
  <si>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</si>
  <si>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</si>
  <si>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</si>
  <si>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</si>
  <si>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</si>
  <si>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</si>
  <si>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</si>
  <si>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</si>
  <si>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</si>
  <si>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</si>
  <si>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</si>
  <si>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</si>
  <si>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</si>
  <si>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32000 *Fund Balance Unreserved</t>
  </si>
  <si>
    <t>Net Income</t>
  </si>
  <si>
    <t>Total for Equity</t>
  </si>
  <si>
    <t>Total for Liabilities and Equity</t>
  </si>
  <si>
    <t>Accrual Basis Friday, January 09, 2026 10:14 PM GMTZ</t>
  </si>
  <si>
    <t xml:space="preserve">Budget vs. Actuals: Budget_FY26_P&amp;L_1 - FY26 P&amp;L </t>
  </si>
  <si>
    <t>January - December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</si>
  <si>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</si>
  <si>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</si>
  <si>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</si>
  <si>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</si>
  <si>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</si>
  <si>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</si>
  <si>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</si>
  <si>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</si>
  <si>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</si>
  <si>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</si>
  <si>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</si>
  <si>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</si>
  <si>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</si>
  <si>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</si>
  <si>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</si>
  <si>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</si>
  <si>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</si>
  <si>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</si>
  <si>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Grants</t>
  </si>
  <si>
    <t xml:space="preserve">      Undesignated</t>
  </si>
  <si>
    <t xml:space="preserve">   Total 40010 Donations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</si>
  <si>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</si>
  <si>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</si>
  <si>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</si>
  <si>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</si>
  <si>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</si>
  <si>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</si>
  <si>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</si>
  <si>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</si>
  <si>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</si>
  <si>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</si>
  <si>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</si>
  <si>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</si>
  <si>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</si>
  <si>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</si>
  <si>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</si>
  <si>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</si>
  <si>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</si>
  <si>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</si>
  <si>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</si>
  <si>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</si>
  <si>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</si>
  <si>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</si>
  <si>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</si>
  <si>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</si>
  <si>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</si>
  <si>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</si>
  <si>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</si>
  <si>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</si>
  <si>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</si>
  <si>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</si>
  <si>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</si>
  <si>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</si>
  <si>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</si>
  <si>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</si>
  <si>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</si>
  <si>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</si>
  <si>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</si>
  <si>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</si>
  <si>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</si>
  <si>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</si>
  <si>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</si>
  <si>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</si>
  <si>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</si>
  <si>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   Memorials/Designated</t>
  </si>
  <si>
    <t xml:space="preserve">   Total Donation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</si>
  <si>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</si>
  <si>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</si>
  <si>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</si>
  <si>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</si>
  <si>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</si>
  <si>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</si>
  <si>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</si>
  <si>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</si>
  <si>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</si>
  <si>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</si>
  <si>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</si>
  <si>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</si>
  <si>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</si>
  <si>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</si>
  <si>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</si>
  <si>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</si>
  <si>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</si>
  <si>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</si>
  <si>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Programming supplies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</si>
  <si>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</si>
  <si>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</si>
  <si>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</si>
  <si>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</si>
  <si>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</si>
  <si>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</si>
  <si>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</si>
  <si>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</si>
  <si>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</si>
  <si>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</si>
  <si>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</si>
  <si>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</si>
  <si>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</si>
  <si>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</si>
  <si>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</si>
  <si>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</si>
  <si>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</si>
  <si>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</si>
  <si>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</si>
  <si>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</si>
  <si>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</si>
  <si>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</si>
  <si>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Friday, Jan 09, 2026 02:15:23 PM GMT-8 - Accrual Basis</t>
  </si>
  <si>
    <t>Expenses by Vendor Summary</t>
  </si>
  <si>
    <t>December 1-31, 2025</t>
  </si>
  <si>
    <t>Vendor</t>
  </si>
  <si>
    <t/>
  </si>
  <si>
    <t>Aflac</t>
  </si>
  <si>
    <t>Allen Service Plumbing Heating and Air</t>
  </si>
  <si>
    <t>Amazon</t>
  </si>
  <si>
    <t>Berthoud Chamber</t>
  </si>
  <si>
    <t>Berthoud Weekly Surveyor</t>
  </si>
  <si>
    <t>Canon Financial Services, Inc.</t>
  </si>
  <si>
    <t>Cardmember Services</t>
  </si>
  <si>
    <t>Center Point Large Print</t>
  </si>
  <si>
    <t>Charles Schwab</t>
  </si>
  <si>
    <t>Colorado Library Consortium</t>
  </si>
  <si>
    <t>Comcast - Business</t>
  </si>
  <si>
    <t>Demco - supplies</t>
  </si>
  <si>
    <t>EasyTrack Payroll</t>
  </si>
  <si>
    <t>Hay's Market</t>
  </si>
  <si>
    <t>Ingram</t>
  </si>
  <si>
    <t>Johnson Controls Security Solutions</t>
  </si>
  <si>
    <t>Kanopy Inc.</t>
  </si>
  <si>
    <t>Lookout Books</t>
  </si>
  <si>
    <t>Midwest Tape</t>
  </si>
  <si>
    <t>Mountain View Commercial Cleaning</t>
  </si>
  <si>
    <t>Public Sector Health Care Group</t>
  </si>
  <si>
    <t>RCOM Computer Services</t>
  </si>
  <si>
    <t>Scholastic Inc.</t>
  </si>
  <si>
    <t>Special District Association</t>
  </si>
  <si>
    <t>Trojahn Trades LLC</t>
  </si>
  <si>
    <t>United Waste Systems</t>
  </si>
  <si>
    <t>Value Line Publishing LLC</t>
  </si>
  <si>
    <t>Xcel Energy</t>
  </si>
  <si>
    <t>TOTAL</t>
  </si>
  <si>
    <t>Date</t>
  </si>
  <si>
    <t>Name</t>
  </si>
  <si>
    <t>Amount</t>
  </si>
  <si>
    <t>INTUIT *QBooks Live    SAN DIEGO     CA</t>
  </si>
  <si>
    <t>Monthly</t>
  </si>
  <si>
    <t>4IMPRINT INC          OSHKOSH       WI</t>
  </si>
  <si>
    <t>Bookmarks</t>
  </si>
  <si>
    <t>WM SUPERCENTER #3867   WESTMINSTER   CO</t>
  </si>
  <si>
    <t>Youth Programming</t>
  </si>
  <si>
    <t>MICHAELS STORES 1610   THORNTON      CO</t>
  </si>
  <si>
    <t>Adobe                  San Jose      CA</t>
  </si>
  <si>
    <t>SP LION BRAND YARN     LYNDHURST     NJ</t>
  </si>
  <si>
    <t>Christy Staff Appreciation</t>
  </si>
  <si>
    <t>Refund</t>
  </si>
  <si>
    <t>SP AUNT FLOW           COLUMBUS      OH</t>
  </si>
  <si>
    <t>Bi-monthly</t>
  </si>
  <si>
    <t>INTERNET PAYMENT THANK YOU</t>
  </si>
  <si>
    <t>INTUIT *QBooks Online  SAN DIEGO     CA</t>
  </si>
  <si>
    <t>Statistics</t>
  </si>
  <si>
    <t>2025 Jan</t>
  </si>
  <si>
    <t>2026 Jan</t>
  </si>
  <si>
    <t>% Change</t>
  </si>
  <si>
    <t>YTD 2025</t>
  </si>
  <si>
    <t>YTD 2026</t>
  </si>
  <si>
    <r>
      <t xml:space="preserve">% </t>
    </r>
    <r>
      <rPr>
        <b/>
        <sz val="11"/>
        <color theme="1"/>
        <rFont val="Arial"/>
        <family val="2"/>
      </rPr>
      <t>Change</t>
    </r>
  </si>
  <si>
    <r>
      <t>C</t>
    </r>
    <r>
      <rPr>
        <b/>
        <sz val="12"/>
        <color theme="1"/>
        <rFont val="Arial"/>
        <family val="2"/>
      </rPr>
      <t>irculation</t>
    </r>
  </si>
  <si>
    <t>Circulation</t>
  </si>
  <si>
    <t>Reference Questions</t>
  </si>
  <si>
    <t>Program attendance</t>
  </si>
  <si>
    <t>People counter</t>
  </si>
  <si>
    <t>3M Ebooks</t>
  </si>
  <si>
    <t>OverDrive</t>
  </si>
  <si>
    <t>Comic+</t>
  </si>
  <si>
    <t>Interlibrary Loans</t>
  </si>
  <si>
    <t>Number of items borrowed</t>
  </si>
  <si>
    <t>Number of items loaned</t>
  </si>
  <si>
    <t>AspenCat</t>
  </si>
  <si>
    <t>Borrowed</t>
  </si>
  <si>
    <t xml:space="preserve">Loaned </t>
  </si>
  <si>
    <t>Registered Patrons</t>
  </si>
  <si>
    <t>New cards</t>
  </si>
  <si>
    <t>Total number of card holders</t>
  </si>
  <si>
    <t>Residents</t>
  </si>
  <si>
    <t>Non- Residents</t>
  </si>
  <si>
    <t>Collection</t>
  </si>
  <si>
    <t>Materials added</t>
  </si>
  <si>
    <t>Materials withdrawn</t>
  </si>
  <si>
    <t>Total materials owned</t>
  </si>
  <si>
    <t>Technology</t>
  </si>
  <si>
    <t>Computer use</t>
  </si>
  <si>
    <t xml:space="preserve">Web usage </t>
  </si>
  <si>
    <t>Tech Coaching Sessions</t>
  </si>
  <si>
    <t>Volunteer Hours Worked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</si>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</sst>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5" fillId="0" borderId="1"/>
    <xf numFmtId="0" fontId="9" fillId="0" borderId="0"/>
    <xf numFmtId="0" fontId="9" fillId="0" borderId="0"/>
  </cellStyleXfs>
  <cellXfs count="64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0" fontId="6" fillId="0" borderId="1" xfId="2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1"/>
    </xf>
    <xf numFmtId="0" fontId="7" fillId="0" borderId="0" xfId="1" applyFont="1" applyAlignment="1">
      <alignment horizontal="left" wrapText="1" indent="2"/>
    </xf>
    <xf numFmtId="0" fontId="7" fillId="0" borderId="0" xfId="1" applyFont="1" applyAlignment="1">
      <alignment horizontal="left" wrapText="1" indent="3"/>
    </xf>
    <xf numFmtId="4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 indent="4"/>
    </xf>
    <xf numFmtId="0" fontId="8" fillId="0" borderId="0" xfId="1" applyFont="1" applyAlignment="1">
      <alignment horizontal="left" wrapText="1" indent="3"/>
    </xf>
    <xf numFmtId="16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 indent="2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left" wrapText="1" indent="5"/>
    </xf>
    <xf numFmtId="0" fontId="8" fillId="0" borderId="0" xfId="1" applyFont="1" applyAlignment="1">
      <alignment horizontal="left" wrapText="1" indent="4"/>
    </xf>
    <xf numFmtId="0" fontId="9" fillId="0" borderId="0" xfId="3"/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165" fontId="14" fillId="0" borderId="0" xfId="3" applyNumberFormat="1" applyFont="1" applyAlignment="1">
      <alignment wrapText="1"/>
    </xf>
    <xf numFmtId="165" fontId="14" fillId="0" borderId="0" xfId="3" applyNumberFormat="1" applyFont="1" applyAlignment="1">
      <alignment horizontal="right" wrapText="1"/>
    </xf>
    <xf numFmtId="10" fontId="14" fillId="0" borderId="0" xfId="3" applyNumberFormat="1" applyFont="1" applyAlignment="1">
      <alignment horizontal="right" wrapText="1"/>
    </xf>
    <xf numFmtId="166" fontId="13" fillId="0" borderId="2" xfId="3" applyNumberFormat="1" applyFont="1" applyBorder="1" applyAlignment="1">
      <alignment horizontal="right" wrapText="1"/>
    </xf>
    <xf numFmtId="10" fontId="13" fillId="0" borderId="2" xfId="3" applyNumberFormat="1" applyFont="1" applyBorder="1" applyAlignment="1">
      <alignment horizontal="right" wrapText="1"/>
    </xf>
    <xf numFmtId="0" fontId="8" fillId="0" borderId="2" xfId="1" applyFont="1" applyBorder="1" applyAlignment="1">
      <alignment horizontal="left" wrapText="1"/>
    </xf>
    <xf numFmtId="14" fontId="0" fillId="0" borderId="0" xfId="0" applyNumberFormat="1"/>
    <xf numFmtId="0" fontId="3" fillId="0" borderId="0" xfId="0" applyFont="1"/>
    <xf numFmtId="16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1" fillId="0" borderId="0" xfId="0" applyFont="1"/>
    <xf numFmtId="0" fontId="16" fillId="0" borderId="0" xfId="0" applyFont="1"/>
    <xf numFmtId="9" fontId="0" fillId="0" borderId="0" xfId="0" applyNumberFormat="1"/>
    <xf numFmtId="0" fontId="17" fillId="0" borderId="0" xfId="0" applyFont="1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4" fillId="0" borderId="0" xfId="3" applyFont="1" applyAlignment="1">
      <alignment horizontal="center"/>
    </xf>
    <xf numFmtId="0" fontId="9" fillId="0" borderId="0" xfId="3"/>
    <xf numFmtId="0" fontId="12" fillId="0" borderId="1" xfId="3" applyFont="1" applyBorder="1" applyAlignment="1">
      <alignment horizontal="center" wrapText="1"/>
    </xf>
    <xf numFmtId="0" fontId="9" fillId="0" borderId="0" xfId="3" applyAlignment="1">
      <alignment wrapText="1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8" fillId="0" borderId="0" xfId="4" applyFont="1" applyAlignment="1">
      <alignment horizontal="center"/>
    </xf>
    <xf numFmtId="0" fontId="9" fillId="0" borderId="0" xfId="4"/>
    <xf numFmtId="0" fontId="9" fillId="0" borderId="0" xfId="4"/>
    <xf numFmtId="0" fontId="19" fillId="0" borderId="0" xfId="4" applyFont="1" applyAlignment="1">
      <alignment horizontal="center"/>
    </xf>
    <xf numFmtId="0" fontId="9" fillId="0" borderId="0" xfId="4" applyAlignment="1">
      <alignment wrapText="1"/>
    </xf>
    <xf numFmtId="0" fontId="20" fillId="0" borderId="1" xfId="4" applyFont="1" applyBorder="1" applyAlignment="1">
      <alignment horizontal="center" wrapText="1"/>
    </xf>
    <xf numFmtId="0" fontId="9" fillId="0" borderId="0" xfId="4" applyAlignment="1">
      <alignment wrapText="1"/>
    </xf>
    <xf numFmtId="0" fontId="20" fillId="0" borderId="1" xfId="4" applyFont="1" applyBorder="1" applyAlignment="1">
      <alignment horizontal="center" wrapText="1"/>
    </xf>
    <xf numFmtId="0" fontId="21" fillId="0" borderId="0" xfId="4" applyFont="1" applyAlignment="1">
      <alignment horizontal="left" wrapText="1"/>
    </xf>
    <xf numFmtId="165" fontId="22" fillId="0" borderId="0" xfId="4" applyNumberFormat="1" applyFont="1" applyAlignment="1">
      <alignment wrapText="1"/>
    </xf>
    <xf numFmtId="165" fontId="22" fillId="0" borderId="0" xfId="4" applyNumberFormat="1" applyFont="1" applyAlignment="1">
      <alignment horizontal="right" wrapText="1"/>
    </xf>
    <xf numFmtId="10" fontId="22" fillId="0" borderId="0" xfId="4" applyNumberFormat="1" applyFont="1" applyAlignment="1">
      <alignment horizontal="right" wrapText="1"/>
    </xf>
    <xf numFmtId="166" fontId="21" fillId="0" borderId="2" xfId="4" applyNumberFormat="1" applyFont="1" applyBorder="1" applyAlignment="1">
      <alignment horizontal="right" wrapText="1"/>
    </xf>
    <xf numFmtId="10" fontId="21" fillId="0" borderId="2" xfId="4" applyNumberFormat="1" applyFont="1" applyBorder="1" applyAlignment="1">
      <alignment horizontal="right" wrapText="1"/>
    </xf>
    <xf numFmtId="0" fontId="22" fillId="0" borderId="0" xfId="4" applyFont="1" applyAlignment="1">
      <alignment horizontal="center"/>
    </xf>
  </cellXfs>
  <cellStyles count="5">
    <cellStyle name="HeaderCellStyle" xfId="2" xr:uid="{01A057C8-BB36-4E75-ADE0-3D963F27BBDC}"/>
    <cellStyle name="Normal" xfId="0" builtinId="0"/>
    <cellStyle name="Normal 2" xfId="1" xr:uid="{6C1941FD-1224-468D-9794-26CEF77C8659}"/>
    <cellStyle name="Normal 2 2" xfId="4" xr:uid="{A413B181-316A-4505-B0AA-FB33A2456196}"/>
    <cellStyle name="Normal 3" xfId="3" xr:uid="{E3AA8C77-0607-419B-8FFD-CB658F30C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F20E-D269-4D4C-8240-449F9B3448D5}">
  <dimension ref="A1:H36"/>
  <sheetViews>
    <sheetView view="pageLayout" topLeftCell="A6" zoomScale="125" zoomScaleNormal="125" zoomScalePageLayoutView="125" workbookViewId="0">
      <selection activeCell="C6" sqref="C6"/>
    </sheetView>
  </sheetViews>
  <sheetFormatPr defaultColWidth="8.6640625" defaultRowHeight="14.4" x14ac:dyDescent="0.3"/>
  <cols>
    <col min="1" max="1" width="21.44140625" customWidth="1"/>
    <col min="2" max="2" width="9.88671875" customWidth="1"/>
    <col min="3" max="4" width="9.6640625" customWidth="1"/>
    <col min="5" max="5" width="4.6640625" customWidth="1"/>
    <col min="6" max="6" width="10.33203125" customWidth="1"/>
    <col min="7" max="7" width="10" customWidth="1"/>
    <col min="8" max="8" width="9.33203125" customWidth="1"/>
  </cols>
  <sheetData>
    <row r="1" spans="1:8" s="29" customFormat="1" ht="31.2" x14ac:dyDescent="0.3">
      <c r="A1" s="29" t="s">
        <v>229</v>
      </c>
      <c r="B1" s="30" t="s">
        <v>230</v>
      </c>
      <c r="C1" s="30" t="s">
        <v>231</v>
      </c>
      <c r="D1" s="31" t="s">
        <v>232</v>
      </c>
      <c r="F1" s="32" t="s">
        <v>233</v>
      </c>
      <c r="G1" s="32" t="s">
        <v>234</v>
      </c>
      <c r="H1" s="31" t="s">
        <v>235</v>
      </c>
    </row>
    <row r="2" spans="1:8" s="29" customFormat="1" ht="15.6" x14ac:dyDescent="0.3">
      <c r="B2" s="30"/>
      <c r="C2" s="30"/>
      <c r="D2" s="31"/>
      <c r="F2" s="32"/>
      <c r="G2" s="32"/>
      <c r="H2" s="31"/>
    </row>
    <row r="3" spans="1:8" ht="15.6" x14ac:dyDescent="0.3">
      <c r="A3" s="33" t="s">
        <v>236</v>
      </c>
      <c r="B3" s="34"/>
      <c r="C3" s="34"/>
      <c r="D3" s="34"/>
      <c r="E3" s="34"/>
      <c r="F3" s="34"/>
      <c r="G3" s="34"/>
      <c r="H3" s="34"/>
    </row>
    <row r="4" spans="1:8" ht="15.6" x14ac:dyDescent="0.3">
      <c r="A4" s="35" t="s">
        <v>237</v>
      </c>
      <c r="B4" s="34">
        <v>6650</v>
      </c>
      <c r="C4" s="34">
        <v>6510</v>
      </c>
      <c r="D4" s="36">
        <f>(C4-B4)/B4</f>
        <v>-2.1052631578947368E-2</v>
      </c>
      <c r="E4" s="34"/>
      <c r="F4" s="34">
        <f t="shared" ref="F4:G8" si="0">B4</f>
        <v>6650</v>
      </c>
      <c r="G4" s="34">
        <f t="shared" si="0"/>
        <v>6510</v>
      </c>
      <c r="H4" s="36">
        <f t="shared" ref="H4:H8" si="1">(G4-F4)/F4</f>
        <v>-2.1052631578947368E-2</v>
      </c>
    </row>
    <row r="5" spans="1:8" ht="15.6" x14ac:dyDescent="0.3">
      <c r="A5" s="35" t="s">
        <v>238</v>
      </c>
      <c r="B5" s="34">
        <v>0</v>
      </c>
      <c r="C5" s="34">
        <v>0</v>
      </c>
      <c r="D5" s="36"/>
      <c r="E5" s="34"/>
      <c r="F5" s="34">
        <v>0</v>
      </c>
      <c r="G5" s="34">
        <f t="shared" si="0"/>
        <v>0</v>
      </c>
      <c r="H5" s="36" t="e">
        <f t="shared" si="1"/>
        <v>#DIV/0!</v>
      </c>
    </row>
    <row r="6" spans="1:8" ht="15.6" x14ac:dyDescent="0.3">
      <c r="A6" s="35" t="s">
        <v>239</v>
      </c>
      <c r="B6" s="34">
        <v>532</v>
      </c>
      <c r="C6" s="34">
        <v>401</v>
      </c>
      <c r="D6" s="36">
        <f>(C6-B6)/B6</f>
        <v>-0.2462406015037594</v>
      </c>
      <c r="E6" s="34"/>
      <c r="F6" s="34">
        <f t="shared" si="0"/>
        <v>532</v>
      </c>
      <c r="G6" s="34">
        <f t="shared" si="0"/>
        <v>401</v>
      </c>
      <c r="H6" s="36">
        <f t="shared" si="1"/>
        <v>-0.2462406015037594</v>
      </c>
    </row>
    <row r="7" spans="1:8" ht="15.6" x14ac:dyDescent="0.3">
      <c r="A7" s="35" t="s">
        <v>240</v>
      </c>
      <c r="B7" s="34">
        <v>3643</v>
      </c>
      <c r="C7" s="34">
        <v>3903</v>
      </c>
      <c r="D7" s="36">
        <f>(C7-B7)/B7</f>
        <v>7.1369750205874286E-2</v>
      </c>
      <c r="E7" s="34"/>
      <c r="F7" s="34">
        <f t="shared" si="0"/>
        <v>3643</v>
      </c>
      <c r="G7" s="34">
        <f t="shared" si="0"/>
        <v>3903</v>
      </c>
      <c r="H7" s="36">
        <f t="shared" si="1"/>
        <v>7.1369750205874286E-2</v>
      </c>
    </row>
    <row r="8" spans="1:8" ht="15.6" x14ac:dyDescent="0.3">
      <c r="A8" s="35" t="s">
        <v>241</v>
      </c>
      <c r="B8" s="34">
        <v>291</v>
      </c>
      <c r="C8" s="34">
        <v>0</v>
      </c>
      <c r="D8" s="36">
        <f>(C8-B8)/B8</f>
        <v>-1</v>
      </c>
      <c r="E8" s="34"/>
      <c r="F8" s="34">
        <f t="shared" si="0"/>
        <v>291</v>
      </c>
      <c r="G8" s="34">
        <f t="shared" si="0"/>
        <v>0</v>
      </c>
      <c r="H8" s="36">
        <f t="shared" si="1"/>
        <v>-1</v>
      </c>
    </row>
    <row r="9" spans="1:8" ht="15.6" x14ac:dyDescent="0.3">
      <c r="A9" s="35" t="s">
        <v>242</v>
      </c>
      <c r="B9" s="34">
        <v>904</v>
      </c>
      <c r="C9" s="34">
        <v>1148</v>
      </c>
      <c r="D9" s="36">
        <f>(C9-B9)/B9</f>
        <v>0.26991150442477874</v>
      </c>
      <c r="F9" s="34">
        <f>B9</f>
        <v>904</v>
      </c>
      <c r="G9" s="34">
        <f>C9</f>
        <v>1148</v>
      </c>
      <c r="H9" s="36">
        <f>(G9-F9)/F9</f>
        <v>0.26991150442477874</v>
      </c>
    </row>
    <row r="10" spans="1:8" ht="14.25" customHeight="1" x14ac:dyDescent="0.3">
      <c r="A10" s="35" t="s">
        <v>243</v>
      </c>
      <c r="B10" s="34">
        <v>1</v>
      </c>
      <c r="C10" s="34">
        <v>0</v>
      </c>
      <c r="D10" s="36">
        <f>(C10-B10)/B10</f>
        <v>-1</v>
      </c>
      <c r="E10" s="34"/>
      <c r="F10" s="34">
        <f>B10</f>
        <v>1</v>
      </c>
      <c r="G10" s="34">
        <f>C10</f>
        <v>0</v>
      </c>
      <c r="H10" s="36">
        <f>(G10-F10)/F10</f>
        <v>-1</v>
      </c>
    </row>
    <row r="11" spans="1:8" ht="15.6" x14ac:dyDescent="0.3">
      <c r="A11" s="29" t="s">
        <v>244</v>
      </c>
      <c r="B11" s="34"/>
      <c r="C11" s="34"/>
      <c r="D11" s="36"/>
      <c r="E11" s="34"/>
      <c r="F11" s="34"/>
      <c r="G11" s="34"/>
      <c r="H11" s="36"/>
    </row>
    <row r="12" spans="1:8" ht="15.6" x14ac:dyDescent="0.3">
      <c r="A12" s="35" t="s">
        <v>245</v>
      </c>
      <c r="B12" s="34">
        <v>62</v>
      </c>
      <c r="C12" s="34">
        <v>67</v>
      </c>
      <c r="D12" s="36">
        <f>(C12-B12)/B12</f>
        <v>8.0645161290322578E-2</v>
      </c>
      <c r="E12" s="34"/>
      <c r="F12" s="34">
        <f>B12</f>
        <v>62</v>
      </c>
      <c r="G12" s="34">
        <f>C12</f>
        <v>67</v>
      </c>
      <c r="H12" s="36">
        <f>(G12-F12)/F12</f>
        <v>8.0645161290322578E-2</v>
      </c>
    </row>
    <row r="13" spans="1:8" ht="15.6" x14ac:dyDescent="0.3">
      <c r="A13" s="35" t="s">
        <v>246</v>
      </c>
      <c r="B13" s="34">
        <v>40</v>
      </c>
      <c r="C13" s="34">
        <v>46</v>
      </c>
      <c r="D13" s="36">
        <f>(C13-B13)/B13</f>
        <v>0.15</v>
      </c>
      <c r="E13" s="34"/>
      <c r="F13" s="34">
        <f>B13</f>
        <v>40</v>
      </c>
      <c r="G13" s="34">
        <f>C13</f>
        <v>46</v>
      </c>
      <c r="H13" s="36">
        <f>(G13-F13)/F13</f>
        <v>0.15</v>
      </c>
    </row>
    <row r="14" spans="1:8" ht="15.6" x14ac:dyDescent="0.3">
      <c r="A14" s="37"/>
      <c r="B14" s="34"/>
      <c r="C14" s="34"/>
      <c r="D14" s="36"/>
      <c r="E14" s="34"/>
      <c r="F14" s="34"/>
      <c r="G14" s="34"/>
      <c r="H14" s="36"/>
    </row>
    <row r="15" spans="1:8" ht="15.6" x14ac:dyDescent="0.3">
      <c r="A15" s="29" t="s">
        <v>247</v>
      </c>
      <c r="B15" s="34"/>
      <c r="C15" s="34"/>
      <c r="D15" s="36"/>
      <c r="E15" s="34"/>
      <c r="F15" s="34"/>
      <c r="G15" s="34"/>
      <c r="H15" s="36"/>
    </row>
    <row r="16" spans="1:8" ht="15.6" x14ac:dyDescent="0.3">
      <c r="A16" s="35" t="s">
        <v>248</v>
      </c>
      <c r="B16" s="34">
        <v>773</v>
      </c>
      <c r="C16" s="34">
        <v>0</v>
      </c>
      <c r="D16" s="36">
        <f>(C16-B16)/B16</f>
        <v>-1</v>
      </c>
      <c r="E16" s="34"/>
      <c r="F16" s="34">
        <f>B16</f>
        <v>773</v>
      </c>
      <c r="G16" s="34">
        <f>C16</f>
        <v>0</v>
      </c>
      <c r="H16" s="36">
        <f>(G16-F16)/F16</f>
        <v>-1</v>
      </c>
    </row>
    <row r="17" spans="1:8" ht="15.6" x14ac:dyDescent="0.3">
      <c r="A17" s="35" t="s">
        <v>249</v>
      </c>
      <c r="B17" s="34">
        <v>377</v>
      </c>
      <c r="C17" s="34">
        <v>0</v>
      </c>
      <c r="D17" s="36">
        <f>(C17-B17)/B17</f>
        <v>-1</v>
      </c>
      <c r="E17" s="34"/>
      <c r="F17" s="34">
        <f>B17</f>
        <v>377</v>
      </c>
      <c r="G17" s="34">
        <f>C17</f>
        <v>0</v>
      </c>
      <c r="H17" s="36">
        <f>(G17-F17)/F17</f>
        <v>-1</v>
      </c>
    </row>
    <row r="18" spans="1:8" ht="24.9" customHeight="1" x14ac:dyDescent="0.3">
      <c r="A18" s="37"/>
      <c r="B18" s="34"/>
      <c r="C18" s="34"/>
      <c r="D18" s="36"/>
      <c r="E18" s="34"/>
      <c r="F18" s="34"/>
      <c r="G18" s="34"/>
      <c r="H18" s="36"/>
    </row>
    <row r="19" spans="1:8" ht="15.6" x14ac:dyDescent="0.3">
      <c r="A19" s="29" t="s">
        <v>250</v>
      </c>
      <c r="B19" s="34"/>
      <c r="C19" s="34"/>
      <c r="D19" s="36"/>
      <c r="E19" s="34"/>
      <c r="F19" s="34"/>
      <c r="G19" s="34"/>
      <c r="H19" s="36"/>
    </row>
    <row r="20" spans="1:8" ht="15.6" x14ac:dyDescent="0.3">
      <c r="A20" s="35" t="s">
        <v>251</v>
      </c>
      <c r="B20" s="34">
        <v>86</v>
      </c>
      <c r="C20" s="34">
        <v>128</v>
      </c>
      <c r="D20" s="36">
        <f>(C20-B20)/B20</f>
        <v>0.48837209302325579</v>
      </c>
      <c r="E20" s="34"/>
      <c r="F20" s="34">
        <f t="shared" ref="F20:G23" si="2">B20</f>
        <v>86</v>
      </c>
      <c r="G20" s="34">
        <f t="shared" si="2"/>
        <v>128</v>
      </c>
      <c r="H20" s="36">
        <f>(G20-F20)/F20</f>
        <v>0.48837209302325579</v>
      </c>
    </row>
    <row r="21" spans="1:8" ht="15.6" x14ac:dyDescent="0.3">
      <c r="A21" s="35" t="s">
        <v>252</v>
      </c>
      <c r="B21" s="34">
        <v>11418</v>
      </c>
      <c r="C21" s="34">
        <v>8081</v>
      </c>
      <c r="D21" s="36">
        <f>(C21-B21)/B21</f>
        <v>-0.29225783850061304</v>
      </c>
      <c r="E21" s="34"/>
      <c r="F21" s="34">
        <f t="shared" si="2"/>
        <v>11418</v>
      </c>
      <c r="G21" s="34">
        <f t="shared" si="2"/>
        <v>8081</v>
      </c>
      <c r="H21" s="36">
        <f>(G21-F21)/F21</f>
        <v>-0.29225783850061304</v>
      </c>
    </row>
    <row r="22" spans="1:8" ht="15.6" x14ac:dyDescent="0.3">
      <c r="A22" s="35" t="s">
        <v>253</v>
      </c>
      <c r="B22" s="34">
        <v>9436</v>
      </c>
      <c r="C22" s="34">
        <v>6644</v>
      </c>
      <c r="D22" s="36">
        <f>(C22-B22)/B22</f>
        <v>-0.29588808817295464</v>
      </c>
      <c r="E22" s="34"/>
      <c r="F22" s="34">
        <f t="shared" si="2"/>
        <v>9436</v>
      </c>
      <c r="G22" s="34">
        <f t="shared" si="2"/>
        <v>6644</v>
      </c>
      <c r="H22" s="36">
        <f t="shared" ref="H22:H23" si="3">(G22-F22)/F22</f>
        <v>-0.29588808817295464</v>
      </c>
    </row>
    <row r="23" spans="1:8" ht="15.6" x14ac:dyDescent="0.3">
      <c r="A23" s="35" t="s">
        <v>254</v>
      </c>
      <c r="B23" s="34">
        <v>1982</v>
      </c>
      <c r="C23" s="34">
        <v>1437</v>
      </c>
      <c r="D23" s="36">
        <f>(C23-B23)/B23</f>
        <v>-0.27497477295660949</v>
      </c>
      <c r="E23" s="34"/>
      <c r="F23" s="34">
        <f t="shared" si="2"/>
        <v>1982</v>
      </c>
      <c r="G23" s="34">
        <f t="shared" si="2"/>
        <v>1437</v>
      </c>
      <c r="H23" s="36">
        <f t="shared" si="3"/>
        <v>-0.27497477295660949</v>
      </c>
    </row>
    <row r="24" spans="1:8" ht="29.1" customHeight="1" x14ac:dyDescent="0.3">
      <c r="A24" s="37"/>
      <c r="B24" s="34"/>
      <c r="C24" s="34"/>
      <c r="D24" s="36"/>
      <c r="E24" s="34"/>
      <c r="F24" s="34"/>
      <c r="G24" s="34"/>
      <c r="H24" s="36"/>
    </row>
    <row r="25" spans="1:8" ht="15.6" x14ac:dyDescent="0.3">
      <c r="A25" s="29" t="s">
        <v>255</v>
      </c>
      <c r="B25" s="34"/>
      <c r="C25" s="34"/>
      <c r="D25" s="36"/>
      <c r="E25" s="34"/>
      <c r="F25" s="34"/>
      <c r="G25" s="34"/>
      <c r="H25" s="36"/>
    </row>
    <row r="26" spans="1:8" ht="15.6" x14ac:dyDescent="0.3">
      <c r="A26" s="35" t="s">
        <v>256</v>
      </c>
      <c r="B26" s="34">
        <v>341</v>
      </c>
      <c r="C26" s="34">
        <v>325</v>
      </c>
      <c r="D26" s="36">
        <f>(C26-B26)/B26</f>
        <v>-4.6920821114369501E-2</v>
      </c>
      <c r="E26" s="34"/>
      <c r="F26" s="34">
        <f t="shared" ref="F26:G28" si="4">B26</f>
        <v>341</v>
      </c>
      <c r="G26" s="34">
        <f t="shared" si="4"/>
        <v>325</v>
      </c>
      <c r="H26" s="36">
        <f>(G26-F26)/F26</f>
        <v>-4.6920821114369501E-2</v>
      </c>
    </row>
    <row r="27" spans="1:8" ht="15.6" x14ac:dyDescent="0.3">
      <c r="A27" s="35" t="s">
        <v>257</v>
      </c>
      <c r="B27" s="34">
        <v>510</v>
      </c>
      <c r="C27" s="34">
        <v>561</v>
      </c>
      <c r="D27" s="36">
        <f>(C27-B27)/B27</f>
        <v>0.1</v>
      </c>
      <c r="E27" s="34"/>
      <c r="F27" s="34">
        <f t="shared" si="4"/>
        <v>510</v>
      </c>
      <c r="G27" s="34">
        <f t="shared" si="4"/>
        <v>561</v>
      </c>
      <c r="H27" s="36">
        <f>(G27-F27)/F27</f>
        <v>0.1</v>
      </c>
    </row>
    <row r="28" spans="1:8" ht="15.6" x14ac:dyDescent="0.3">
      <c r="A28" s="35" t="s">
        <v>258</v>
      </c>
      <c r="B28" s="34">
        <v>26552</v>
      </c>
      <c r="C28" s="34">
        <v>26189</v>
      </c>
      <c r="D28" s="36">
        <f>(C28-B28)/B28</f>
        <v>-1.3671286532087979E-2</v>
      </c>
      <c r="E28" s="34"/>
      <c r="F28" s="34">
        <f t="shared" si="4"/>
        <v>26552</v>
      </c>
      <c r="G28" s="34">
        <f t="shared" si="4"/>
        <v>26189</v>
      </c>
      <c r="H28" s="36">
        <f>(G28-F28)/F28</f>
        <v>-1.3671286532087979E-2</v>
      </c>
    </row>
    <row r="29" spans="1:8" ht="21" customHeight="1" x14ac:dyDescent="0.3">
      <c r="A29" s="37"/>
      <c r="B29" s="34"/>
      <c r="C29" s="34"/>
      <c r="D29" s="36"/>
      <c r="E29" s="34"/>
      <c r="F29" s="34"/>
      <c r="G29" s="34"/>
      <c r="H29" s="36"/>
    </row>
    <row r="30" spans="1:8" ht="21" customHeight="1" x14ac:dyDescent="0.3">
      <c r="A30" s="29" t="s">
        <v>259</v>
      </c>
      <c r="B30" s="34"/>
      <c r="C30" s="34"/>
      <c r="D30" s="36"/>
      <c r="E30" s="34"/>
      <c r="F30" s="34"/>
      <c r="G30" s="34"/>
      <c r="H30" s="36"/>
    </row>
    <row r="31" spans="1:8" ht="15.6" x14ac:dyDescent="0.3">
      <c r="A31" s="35" t="s">
        <v>260</v>
      </c>
      <c r="B31" s="34">
        <v>246</v>
      </c>
      <c r="C31" s="34">
        <v>355</v>
      </c>
      <c r="D31" s="36">
        <f>(C31-B31)/B31</f>
        <v>0.44308943089430897</v>
      </c>
      <c r="E31" s="34"/>
      <c r="F31" s="34">
        <f t="shared" ref="F31:G33" si="5">B31</f>
        <v>246</v>
      </c>
      <c r="G31" s="34">
        <f t="shared" si="5"/>
        <v>355</v>
      </c>
      <c r="H31" s="36">
        <f>(G31-F31)/F31</f>
        <v>0.44308943089430897</v>
      </c>
    </row>
    <row r="32" spans="1:8" ht="15.6" x14ac:dyDescent="0.3">
      <c r="A32" s="35" t="s">
        <v>261</v>
      </c>
      <c r="B32" s="34">
        <v>9300</v>
      </c>
      <c r="C32" s="34">
        <v>4247</v>
      </c>
      <c r="D32" s="36">
        <f>(C32-B32)/B32</f>
        <v>-0.54333333333333333</v>
      </c>
      <c r="E32" s="34"/>
      <c r="F32" s="34">
        <f t="shared" si="5"/>
        <v>9300</v>
      </c>
      <c r="G32" s="34">
        <f t="shared" si="5"/>
        <v>4247</v>
      </c>
      <c r="H32" s="36">
        <f>(G32-F32)/F32</f>
        <v>-0.54333333333333333</v>
      </c>
    </row>
    <row r="33" spans="1:8" ht="15.6" x14ac:dyDescent="0.3">
      <c r="A33" s="35" t="s">
        <v>262</v>
      </c>
      <c r="B33" s="34">
        <v>256</v>
      </c>
      <c r="C33" s="34">
        <v>199</v>
      </c>
      <c r="D33" s="36">
        <f>(C33-B33)/B33</f>
        <v>-0.22265625</v>
      </c>
      <c r="E33" s="34"/>
      <c r="F33" s="34">
        <f t="shared" si="5"/>
        <v>256</v>
      </c>
      <c r="G33" s="34">
        <f t="shared" si="5"/>
        <v>199</v>
      </c>
      <c r="H33" s="36">
        <f>(G33-F33)/F33</f>
        <v>-0.22265625</v>
      </c>
    </row>
    <row r="34" spans="1:8" ht="15.6" x14ac:dyDescent="0.3">
      <c r="A34" s="35"/>
      <c r="B34" s="34"/>
      <c r="C34" s="34"/>
      <c r="D34" s="36"/>
      <c r="E34" s="34"/>
      <c r="F34" s="34"/>
      <c r="G34" s="34"/>
      <c r="H34" s="36"/>
    </row>
    <row r="35" spans="1:8" ht="15.6" x14ac:dyDescent="0.3">
      <c r="A35" s="35" t="s">
        <v>263</v>
      </c>
      <c r="B35" s="34">
        <v>17</v>
      </c>
      <c r="C35" s="34">
        <v>30</v>
      </c>
      <c r="D35" s="36">
        <f>(C35-B35)/B35</f>
        <v>0.76470588235294112</v>
      </c>
      <c r="E35" s="34"/>
      <c r="F35" s="34">
        <f>B35</f>
        <v>17</v>
      </c>
      <c r="G35" s="34">
        <f>C35</f>
        <v>30</v>
      </c>
      <c r="H35" s="36">
        <f>(G35-F35)/F35</f>
        <v>0.76470588235294112</v>
      </c>
    </row>
    <row r="36" spans="1:8" ht="15.6" x14ac:dyDescent="0.3">
      <c r="C36" s="34"/>
      <c r="G36" s="34"/>
    </row>
  </sheetData>
  <pageMargins left="0.7" right="0.7" top="1" bottom="0.75" header="0.3" footer="0.3"/>
  <pageSetup orientation="portrait" r:id="rId1"/>
  <headerFooter>
    <oddHeader>&amp;C&amp;"-,Bold"&amp;14Berthoud Community Library
Statistics January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4459-75EC-4E58-BE0C-5F26F8F8A6DE}">
  <dimension ref="A1:B71"/>
  <sheetViews>
    <sheetView topLeftCell="A49" workbookViewId="0">
      <selection activeCell="B67" sqref="B67"/>
    </sheetView>
  </sheetViews>
  <sheetFormatPr defaultColWidth="12.44140625" defaultRowHeight="15.6" outlineLevelRow="5" x14ac:dyDescent="0.3"/>
  <cols>
    <col min="1" max="1" width="35.109375" style="1" customWidth="1"/>
    <col min="2" max="2" width="17.88671875" style="1" customWidth="1"/>
    <col min="3" max="16384" width="12.44140625" style="2"/>
  </cols>
  <sheetData>
    <row r="1" spans="1:2" x14ac:dyDescent="0.3">
      <c r="A1" s="38" t="s">
        <v>0</v>
      </c>
      <c r="B1" s="39"/>
    </row>
    <row r="2" spans="1:2" x14ac:dyDescent="0.3">
      <c r="A2" s="40" t="s">
        <v>1</v>
      </c>
      <c r="B2" s="39"/>
    </row>
    <row r="3" spans="1:2" x14ac:dyDescent="0.3">
      <c r="A3" s="41" t="s">
        <v>2</v>
      </c>
      <c r="B3" s="39"/>
    </row>
    <row r="5" spans="1:2" x14ac:dyDescent="0.3">
      <c r="A5" s="3" t="s">
        <v>3</v>
      </c>
      <c r="B5" s="3" t="s">
        <v>4</v>
      </c>
    </row>
    <row r="6" spans="1:2" x14ac:dyDescent="0.3">
      <c r="A6" s="4" t="s">
        <v>5</v>
      </c>
    </row>
    <row r="7" spans="1:2" outlineLevel="1" x14ac:dyDescent="0.3">
      <c r="A7" s="5" t="s">
        <v>6</v>
      </c>
    </row>
    <row r="8" spans="1:2" outlineLevel="2" x14ac:dyDescent="0.3">
      <c r="A8" s="6" t="s">
        <v>7</v>
      </c>
    </row>
    <row r="9" spans="1:2" outlineLevel="3" x14ac:dyDescent="0.3">
      <c r="A9" s="7" t="s">
        <v>8</v>
      </c>
      <c r="B9" s="8">
        <v>820571.31</v>
      </c>
    </row>
    <row r="10" spans="1:2" outlineLevel="3" x14ac:dyDescent="0.3">
      <c r="A10" s="7" t="s">
        <v>9</v>
      </c>
      <c r="B10" s="8">
        <v>207178.27</v>
      </c>
    </row>
    <row r="11" spans="1:2" outlineLevel="3" x14ac:dyDescent="0.3">
      <c r="A11" s="7" t="s">
        <v>10</v>
      </c>
      <c r="B11" s="8">
        <v>250564.05</v>
      </c>
    </row>
    <row r="12" spans="1:2" outlineLevel="4" x14ac:dyDescent="0.3">
      <c r="A12" s="9" t="s">
        <v>11</v>
      </c>
      <c r="B12" s="8">
        <v>0</v>
      </c>
    </row>
    <row r="13" spans="1:2" outlineLevel="3" x14ac:dyDescent="0.3">
      <c r="A13" s="10" t="s">
        <v>12</v>
      </c>
      <c r="B13" s="11">
        <f>B11+B12</f>
        <v>250564.05</v>
      </c>
    </row>
    <row r="14" spans="1:2" outlineLevel="3" x14ac:dyDescent="0.3">
      <c r="A14" s="7" t="s">
        <v>13</v>
      </c>
      <c r="B14" s="8">
        <v>140</v>
      </c>
    </row>
    <row r="15" spans="1:2" outlineLevel="2" x14ac:dyDescent="0.3">
      <c r="A15" s="12" t="s">
        <v>14</v>
      </c>
      <c r="B15" s="11">
        <f>B8+B9+B10+B13+B14</f>
        <v>1278453.6300000001</v>
      </c>
    </row>
    <row r="16" spans="1:2" outlineLevel="2" x14ac:dyDescent="0.3">
      <c r="A16" s="6" t="s">
        <v>15</v>
      </c>
    </row>
    <row r="17" spans="1:2" outlineLevel="3" x14ac:dyDescent="0.3">
      <c r="A17" s="7" t="s">
        <v>16</v>
      </c>
      <c r="B17" s="8">
        <v>932698</v>
      </c>
    </row>
    <row r="18" spans="1:2" outlineLevel="2" x14ac:dyDescent="0.3">
      <c r="A18" s="12" t="s">
        <v>17</v>
      </c>
      <c r="B18" s="11">
        <f>B16+B17</f>
        <v>932698</v>
      </c>
    </row>
    <row r="19" spans="1:2" outlineLevel="2" x14ac:dyDescent="0.3">
      <c r="A19" s="6" t="s">
        <v>18</v>
      </c>
    </row>
    <row r="20" spans="1:2" outlineLevel="3" x14ac:dyDescent="0.3">
      <c r="A20" s="7" t="s">
        <v>19</v>
      </c>
      <c r="B20" s="8">
        <v>0</v>
      </c>
    </row>
    <row r="21" spans="1:2" outlineLevel="3" x14ac:dyDescent="0.3">
      <c r="A21" s="7" t="s">
        <v>20</v>
      </c>
      <c r="B21" s="8">
        <v>0</v>
      </c>
    </row>
    <row r="22" spans="1:2" outlineLevel="3" x14ac:dyDescent="0.3">
      <c r="A22" s="7" t="s">
        <v>21</v>
      </c>
      <c r="B22" s="8">
        <v>13518.6</v>
      </c>
    </row>
    <row r="23" spans="1:2" outlineLevel="3" x14ac:dyDescent="0.3">
      <c r="A23" s="7" t="s">
        <v>22</v>
      </c>
      <c r="B23" s="8">
        <v>0</v>
      </c>
    </row>
    <row r="24" spans="1:2" outlineLevel="2" x14ac:dyDescent="0.3">
      <c r="A24" s="12" t="s">
        <v>23</v>
      </c>
      <c r="B24" s="11">
        <f>B19+B20+B21+B22+B23</f>
        <v>13518.6</v>
      </c>
    </row>
    <row r="25" spans="1:2" outlineLevel="1" x14ac:dyDescent="0.3">
      <c r="A25" s="13" t="s">
        <v>24</v>
      </c>
      <c r="B25" s="11">
        <f>B7+B15+B18+B24</f>
        <v>2224670.23</v>
      </c>
    </row>
    <row r="26" spans="1:2" outlineLevel="1" x14ac:dyDescent="0.3">
      <c r="A26" s="5" t="s">
        <v>25</v>
      </c>
    </row>
    <row r="27" spans="1:2" outlineLevel="2" x14ac:dyDescent="0.3">
      <c r="A27" s="6" t="s">
        <v>26</v>
      </c>
      <c r="B27" s="8">
        <v>0</v>
      </c>
    </row>
    <row r="28" spans="1:2" outlineLevel="2" x14ac:dyDescent="0.3">
      <c r="A28" s="6" t="s">
        <v>27</v>
      </c>
      <c r="B28" s="8">
        <v>0</v>
      </c>
    </row>
    <row r="29" spans="1:2" outlineLevel="1" x14ac:dyDescent="0.3">
      <c r="A29" s="13" t="s">
        <v>28</v>
      </c>
      <c r="B29" s="11">
        <f>B26+B27+B28</f>
        <v>0</v>
      </c>
    </row>
    <row r="30" spans="1:2" outlineLevel="1" x14ac:dyDescent="0.3">
      <c r="A30" s="5" t="s">
        <v>29</v>
      </c>
    </row>
    <row r="31" spans="1:2" outlineLevel="2" x14ac:dyDescent="0.3">
      <c r="A31" s="6" t="s">
        <v>30</v>
      </c>
      <c r="B31" s="8">
        <v>0</v>
      </c>
    </row>
    <row r="32" spans="1:2" outlineLevel="1" x14ac:dyDescent="0.3">
      <c r="A32" s="13" t="s">
        <v>31</v>
      </c>
      <c r="B32" s="11">
        <f>B30+B31</f>
        <v>0</v>
      </c>
    </row>
    <row r="33" spans="1:2" x14ac:dyDescent="0.3">
      <c r="A33" s="14" t="s">
        <v>32</v>
      </c>
      <c r="B33" s="11">
        <f>B25+B29+B32</f>
        <v>2224670.23</v>
      </c>
    </row>
    <row r="34" spans="1:2" x14ac:dyDescent="0.3">
      <c r="A34" s="4" t="s">
        <v>33</v>
      </c>
    </row>
    <row r="35" spans="1:2" outlineLevel="1" x14ac:dyDescent="0.3">
      <c r="A35" s="5" t="s">
        <v>34</v>
      </c>
    </row>
    <row r="36" spans="1:2" outlineLevel="2" x14ac:dyDescent="0.3">
      <c r="A36" s="6" t="s">
        <v>35</v>
      </c>
    </row>
    <row r="37" spans="1:2" outlineLevel="3" x14ac:dyDescent="0.3">
      <c r="A37" s="7" t="s">
        <v>36</v>
      </c>
    </row>
    <row r="38" spans="1:2" outlineLevel="4" x14ac:dyDescent="0.3">
      <c r="A38" s="9" t="s">
        <v>37</v>
      </c>
      <c r="B38" s="8">
        <v>-330</v>
      </c>
    </row>
    <row r="39" spans="1:2" outlineLevel="3" x14ac:dyDescent="0.3">
      <c r="A39" s="10" t="s">
        <v>38</v>
      </c>
      <c r="B39" s="11">
        <f>B37+B38</f>
        <v>-330</v>
      </c>
    </row>
    <row r="40" spans="1:2" outlineLevel="3" x14ac:dyDescent="0.3">
      <c r="A40" s="7" t="s">
        <v>39</v>
      </c>
      <c r="B40" s="15"/>
    </row>
    <row r="41" spans="1:2" outlineLevel="3" x14ac:dyDescent="0.3">
      <c r="A41" s="7" t="s">
        <v>40</v>
      </c>
    </row>
    <row r="42" spans="1:2" outlineLevel="4" x14ac:dyDescent="0.3">
      <c r="A42" s="9" t="s">
        <v>41</v>
      </c>
      <c r="B42" s="8">
        <v>35.700000000000003</v>
      </c>
    </row>
    <row r="43" spans="1:2" outlineLevel="5" x14ac:dyDescent="0.3">
      <c r="A43" s="16" t="s">
        <v>42</v>
      </c>
      <c r="B43" s="8">
        <v>236</v>
      </c>
    </row>
    <row r="44" spans="1:2" outlineLevel="5" x14ac:dyDescent="0.3">
      <c r="A44" s="16" t="s">
        <v>43</v>
      </c>
      <c r="B44" s="8">
        <v>-576.04999999999995</v>
      </c>
    </row>
    <row r="45" spans="1:2" outlineLevel="5" x14ac:dyDescent="0.3">
      <c r="A45" s="16" t="s">
        <v>44</v>
      </c>
      <c r="B45" s="8">
        <v>1481.65</v>
      </c>
    </row>
    <row r="46" spans="1:2" outlineLevel="5" x14ac:dyDescent="0.3">
      <c r="A46" s="16" t="s">
        <v>45</v>
      </c>
      <c r="B46" s="8">
        <v>39.159999999999997</v>
      </c>
    </row>
    <row r="47" spans="1:2" outlineLevel="4" x14ac:dyDescent="0.3">
      <c r="A47" s="17" t="s">
        <v>46</v>
      </c>
      <c r="B47" s="11">
        <f>B42+B43+B44+B45+B46</f>
        <v>1216.4600000000003</v>
      </c>
    </row>
    <row r="48" spans="1:2" outlineLevel="4" x14ac:dyDescent="0.3">
      <c r="A48" s="9" t="s">
        <v>47</v>
      </c>
      <c r="B48" s="8">
        <v>-466.28</v>
      </c>
    </row>
    <row r="49" spans="1:2" outlineLevel="4" x14ac:dyDescent="0.3">
      <c r="A49" s="9" t="s">
        <v>48</v>
      </c>
      <c r="B49" s="8">
        <v>932698</v>
      </c>
    </row>
    <row r="50" spans="1:2" outlineLevel="4" x14ac:dyDescent="0.3">
      <c r="A50" s="9" t="s">
        <v>49</v>
      </c>
      <c r="B50" s="8">
        <v>0</v>
      </c>
    </row>
    <row r="51" spans="1:2" outlineLevel="3" x14ac:dyDescent="0.3">
      <c r="A51" s="10" t="s">
        <v>50</v>
      </c>
      <c r="B51" s="11">
        <f>B41+B47+B48+B49+B50</f>
        <v>933448.18</v>
      </c>
    </row>
    <row r="52" spans="1:2" outlineLevel="2" x14ac:dyDescent="0.3">
      <c r="A52" s="12" t="s">
        <v>51</v>
      </c>
      <c r="B52" s="11">
        <f>B36+B39+B40+B51</f>
        <v>933118.18</v>
      </c>
    </row>
    <row r="53" spans="1:2" outlineLevel="2" x14ac:dyDescent="0.3">
      <c r="A53" s="6" t="s">
        <v>52</v>
      </c>
    </row>
    <row r="54" spans="1:2" outlineLevel="3" x14ac:dyDescent="0.3">
      <c r="A54" s="7" t="s">
        <v>53</v>
      </c>
      <c r="B54" s="8">
        <v>0</v>
      </c>
    </row>
    <row r="55" spans="1:2" outlineLevel="2" x14ac:dyDescent="0.3">
      <c r="A55" s="12" t="s">
        <v>54</v>
      </c>
      <c r="B55" s="11">
        <f>B53+B54</f>
        <v>0</v>
      </c>
    </row>
    <row r="56" spans="1:2" outlineLevel="1" x14ac:dyDescent="0.3">
      <c r="A56" s="13" t="s">
        <v>55</v>
      </c>
      <c r="B56" s="11">
        <f>B35+B52+B55</f>
        <v>933118.18</v>
      </c>
    </row>
    <row r="57" spans="1:2" outlineLevel="1" x14ac:dyDescent="0.3">
      <c r="A57" s="5" t="s">
        <v>56</v>
      </c>
    </row>
    <row r="58" spans="1:2" outlineLevel="2" x14ac:dyDescent="0.3">
      <c r="A58" s="6" t="s">
        <v>57</v>
      </c>
      <c r="B58" s="8">
        <v>0</v>
      </c>
    </row>
    <row r="59" spans="1:2" outlineLevel="2" x14ac:dyDescent="0.3">
      <c r="A59" s="6" t="s">
        <v>58</v>
      </c>
      <c r="B59" s="8">
        <v>0</v>
      </c>
    </row>
    <row r="60" spans="1:2" outlineLevel="2" x14ac:dyDescent="0.3">
      <c r="A60" s="6" t="s">
        <v>59</v>
      </c>
      <c r="B60" s="8">
        <v>13107.9</v>
      </c>
    </row>
    <row r="61" spans="1:2" outlineLevel="2" x14ac:dyDescent="0.3">
      <c r="A61" s="6" t="s">
        <v>60</v>
      </c>
      <c r="B61" s="8">
        <v>12806.56</v>
      </c>
    </row>
    <row r="62" spans="1:2" outlineLevel="2" x14ac:dyDescent="0.3">
      <c r="A62" s="6" t="s">
        <v>61</v>
      </c>
      <c r="B62" s="8">
        <v>0</v>
      </c>
    </row>
    <row r="63" spans="1:2" outlineLevel="2" x14ac:dyDescent="0.3">
      <c r="A63" s="6" t="s">
        <v>62</v>
      </c>
      <c r="B63" s="8">
        <v>30000</v>
      </c>
    </row>
    <row r="64" spans="1:2" outlineLevel="2" x14ac:dyDescent="0.3">
      <c r="A64" s="6" t="s">
        <v>63</v>
      </c>
      <c r="B64" s="8">
        <v>933613.63999999745</v>
      </c>
    </row>
    <row r="65" spans="1:2" outlineLevel="2" x14ac:dyDescent="0.3">
      <c r="A65" s="6" t="s">
        <v>64</v>
      </c>
      <c r="B65" s="8">
        <v>302023.94999999978</v>
      </c>
    </row>
    <row r="66" spans="1:2" outlineLevel="1" x14ac:dyDescent="0.3">
      <c r="A66" s="13" t="s">
        <v>65</v>
      </c>
      <c r="B66" s="11">
        <f>B57+B58+B59+B60+B61+B62+B63+B64+B65</f>
        <v>1291552.0499999973</v>
      </c>
    </row>
    <row r="67" spans="1:2" x14ac:dyDescent="0.3">
      <c r="A67" s="14" t="s">
        <v>66</v>
      </c>
      <c r="B67" s="11">
        <f>B56+B66</f>
        <v>2224670.2299999972</v>
      </c>
    </row>
    <row r="71" spans="1:2" x14ac:dyDescent="0.3">
      <c r="A71" s="42" t="s">
        <v>67</v>
      </c>
      <c r="B71" s="39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5095-CAF1-404F-BB26-2E3C9DF08900}">
  <dimension ref="A1:BA104"/>
  <sheetViews>
    <sheetView topLeftCell="A65" workbookViewId="0">
      <selection activeCell="AX10" sqref="AX10"/>
    </sheetView>
  </sheetViews>
  <sheetFormatPr defaultRowHeight="14.4" x14ac:dyDescent="0.3"/>
  <cols>
    <col min="1" max="1" width="29.33203125" style="18" customWidth="1"/>
    <col min="2" max="2" width="11.109375" style="18" hidden="1" customWidth="1"/>
    <col min="3" max="3" width="7.6640625" style="18" hidden="1" customWidth="1"/>
    <col min="4" max="4" width="11.109375" style="18" hidden="1" customWidth="1"/>
    <col min="5" max="5" width="7.6640625" style="18" hidden="1" customWidth="1"/>
    <col min="6" max="6" width="10.33203125" style="18" hidden="1" customWidth="1"/>
    <col min="7" max="7" width="7.6640625" style="18" hidden="1" customWidth="1"/>
    <col min="8" max="8" width="10.33203125" style="18" hidden="1" customWidth="1"/>
    <col min="9" max="9" width="7.6640625" style="18" hidden="1" customWidth="1"/>
    <col min="10" max="10" width="9.44140625" style="18" hidden="1" customWidth="1"/>
    <col min="11" max="11" width="7.6640625" style="18" hidden="1" customWidth="1"/>
    <col min="12" max="12" width="9.44140625" style="18" hidden="1" customWidth="1"/>
    <col min="13" max="13" width="7.6640625" style="18" hidden="1" customWidth="1"/>
    <col min="14" max="14" width="10.33203125" style="18" hidden="1" customWidth="1"/>
    <col min="15" max="15" width="7.6640625" style="18" hidden="1" customWidth="1"/>
    <col min="16" max="16" width="10.33203125" style="18" hidden="1" customWidth="1"/>
    <col min="17" max="17" width="7.6640625" style="18" hidden="1" customWidth="1"/>
    <col min="18" max="18" width="10.33203125" style="18" hidden="1" customWidth="1"/>
    <col min="19" max="19" width="7.6640625" style="18" hidden="1" customWidth="1"/>
    <col min="20" max="20" width="10.33203125" style="18" hidden="1" customWidth="1"/>
    <col min="21" max="21" width="7.6640625" style="18" hidden="1" customWidth="1"/>
    <col min="22" max="22" width="10.33203125" style="18" hidden="1" customWidth="1"/>
    <col min="23" max="23" width="7.6640625" style="18" hidden="1" customWidth="1"/>
    <col min="24" max="24" width="10.33203125" style="18" hidden="1" customWidth="1"/>
    <col min="25" max="25" width="7.6640625" style="18" hidden="1" customWidth="1"/>
    <col min="26" max="26" width="11.109375" style="18" hidden="1" customWidth="1"/>
    <col min="27" max="27" width="7.6640625" style="18" hidden="1" customWidth="1"/>
    <col min="28" max="28" width="11.109375" style="18" hidden="1" customWidth="1"/>
    <col min="29" max="29" width="7.6640625" style="18" hidden="1" customWidth="1"/>
    <col min="30" max="30" width="11.109375" style="18" hidden="1" customWidth="1"/>
    <col min="31" max="31" width="7.6640625" style="18" hidden="1" customWidth="1"/>
    <col min="32" max="32" width="11.109375" style="18" hidden="1" customWidth="1"/>
    <col min="33" max="33" width="7.6640625" style="18" hidden="1" customWidth="1"/>
    <col min="34" max="34" width="11.109375" style="18" hidden="1" customWidth="1"/>
    <col min="35" max="35" width="7.6640625" style="18" hidden="1" customWidth="1"/>
    <col min="36" max="36" width="11.109375" style="18" hidden="1" customWidth="1"/>
    <col min="37" max="37" width="7.6640625" style="18" hidden="1" customWidth="1"/>
    <col min="38" max="38" width="11.109375" style="18" hidden="1" customWidth="1"/>
    <col min="39" max="39" width="7.6640625" style="18" hidden="1" customWidth="1"/>
    <col min="40" max="40" width="11.109375" style="18" hidden="1" customWidth="1"/>
    <col min="41" max="41" width="7.6640625" style="18" hidden="1" customWidth="1"/>
    <col min="42" max="42" width="11.109375" style="18" hidden="1" customWidth="1"/>
    <col min="43" max="43" width="7.6640625" style="18" hidden="1" customWidth="1"/>
    <col min="44" max="44" width="11.109375" style="18" hidden="1" customWidth="1"/>
    <col min="45" max="45" width="7.6640625" style="18" hidden="1" customWidth="1"/>
    <col min="46" max="46" width="11.109375" style="18" hidden="1" customWidth="1"/>
    <col min="47" max="47" width="7.6640625" style="18" hidden="1" customWidth="1"/>
    <col min="48" max="48" width="11.109375" style="18" hidden="1" customWidth="1"/>
    <col min="49" max="49" width="7.6640625" style="18" hidden="1" customWidth="1"/>
    <col min="50" max="50" width="12" style="18" customWidth="1"/>
    <col min="51" max="51" width="7.6640625" style="18" customWidth="1"/>
    <col min="52" max="52" width="12" style="18" customWidth="1"/>
    <col min="53" max="53" width="7.6640625" style="18" customWidth="1"/>
    <col min="54" max="16384" width="8.88671875" style="18"/>
  </cols>
  <sheetData>
    <row r="1" spans="1:53" ht="17.399999999999999" x14ac:dyDescent="0.3">
      <c r="A1" s="47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</row>
    <row r="2" spans="1:53" ht="17.399999999999999" x14ac:dyDescent="0.3">
      <c r="A2" s="47" t="s">
        <v>68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 x14ac:dyDescent="0.3">
      <c r="A3" s="48" t="s">
        <v>69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</row>
    <row r="5" spans="1:53" x14ac:dyDescent="0.3">
      <c r="A5" s="19"/>
      <c r="B5" s="45" t="s">
        <v>70</v>
      </c>
      <c r="C5" s="46"/>
      <c r="D5" s="46"/>
      <c r="E5" s="46"/>
      <c r="F5" s="45" t="s">
        <v>71</v>
      </c>
      <c r="G5" s="46"/>
      <c r="H5" s="46"/>
      <c r="I5" s="46"/>
      <c r="J5" s="45" t="s">
        <v>72</v>
      </c>
      <c r="K5" s="46"/>
      <c r="L5" s="46"/>
      <c r="M5" s="46"/>
      <c r="N5" s="45" t="s">
        <v>73</v>
      </c>
      <c r="O5" s="46"/>
      <c r="P5" s="46"/>
      <c r="Q5" s="46"/>
      <c r="R5" s="45" t="s">
        <v>74</v>
      </c>
      <c r="S5" s="46"/>
      <c r="T5" s="46"/>
      <c r="U5" s="46"/>
      <c r="V5" s="45" t="s">
        <v>75</v>
      </c>
      <c r="W5" s="46"/>
      <c r="X5" s="46"/>
      <c r="Y5" s="46"/>
      <c r="Z5" s="45" t="s">
        <v>76</v>
      </c>
      <c r="AA5" s="46"/>
      <c r="AB5" s="46"/>
      <c r="AC5" s="46"/>
      <c r="AD5" s="45" t="s">
        <v>77</v>
      </c>
      <c r="AE5" s="46"/>
      <c r="AF5" s="46"/>
      <c r="AG5" s="46"/>
      <c r="AH5" s="45" t="s">
        <v>78</v>
      </c>
      <c r="AI5" s="46"/>
      <c r="AJ5" s="46"/>
      <c r="AK5" s="46"/>
      <c r="AL5" s="45" t="s">
        <v>79</v>
      </c>
      <c r="AM5" s="46"/>
      <c r="AN5" s="46"/>
      <c r="AO5" s="46"/>
      <c r="AP5" s="45" t="s">
        <v>80</v>
      </c>
      <c r="AQ5" s="46"/>
      <c r="AR5" s="46"/>
      <c r="AS5" s="46"/>
      <c r="AT5" s="45" t="s">
        <v>81</v>
      </c>
      <c r="AU5" s="46"/>
      <c r="AV5" s="46"/>
      <c r="AW5" s="46"/>
      <c r="AX5" s="45" t="s">
        <v>4</v>
      </c>
      <c r="AY5" s="46"/>
      <c r="AZ5" s="46"/>
      <c r="BA5" s="46"/>
    </row>
    <row r="6" spans="1:53" ht="24.6" x14ac:dyDescent="0.3">
      <c r="A6" s="19"/>
      <c r="B6" s="20" t="s">
        <v>82</v>
      </c>
      <c r="C6" s="20" t="s">
        <v>83</v>
      </c>
      <c r="D6" s="20" t="s">
        <v>84</v>
      </c>
      <c r="E6" s="20" t="s">
        <v>85</v>
      </c>
      <c r="F6" s="20" t="s">
        <v>82</v>
      </c>
      <c r="G6" s="20" t="s">
        <v>83</v>
      </c>
      <c r="H6" s="20" t="s">
        <v>84</v>
      </c>
      <c r="I6" s="20" t="s">
        <v>85</v>
      </c>
      <c r="J6" s="20" t="s">
        <v>82</v>
      </c>
      <c r="K6" s="20" t="s">
        <v>83</v>
      </c>
      <c r="L6" s="20" t="s">
        <v>84</v>
      </c>
      <c r="M6" s="20" t="s">
        <v>85</v>
      </c>
      <c r="N6" s="20" t="s">
        <v>82</v>
      </c>
      <c r="O6" s="20" t="s">
        <v>83</v>
      </c>
      <c r="P6" s="20" t="s">
        <v>84</v>
      </c>
      <c r="Q6" s="20" t="s">
        <v>85</v>
      </c>
      <c r="R6" s="20" t="s">
        <v>82</v>
      </c>
      <c r="S6" s="20" t="s">
        <v>83</v>
      </c>
      <c r="T6" s="20" t="s">
        <v>84</v>
      </c>
      <c r="U6" s="20" t="s">
        <v>85</v>
      </c>
      <c r="V6" s="20" t="s">
        <v>82</v>
      </c>
      <c r="W6" s="20" t="s">
        <v>83</v>
      </c>
      <c r="X6" s="20" t="s">
        <v>84</v>
      </c>
      <c r="Y6" s="20" t="s">
        <v>85</v>
      </c>
      <c r="Z6" s="20" t="s">
        <v>82</v>
      </c>
      <c r="AA6" s="20" t="s">
        <v>83</v>
      </c>
      <c r="AB6" s="20" t="s">
        <v>84</v>
      </c>
      <c r="AC6" s="20" t="s">
        <v>85</v>
      </c>
      <c r="AD6" s="20" t="s">
        <v>82</v>
      </c>
      <c r="AE6" s="20" t="s">
        <v>83</v>
      </c>
      <c r="AF6" s="20" t="s">
        <v>84</v>
      </c>
      <c r="AG6" s="20" t="s">
        <v>85</v>
      </c>
      <c r="AH6" s="20" t="s">
        <v>82</v>
      </c>
      <c r="AI6" s="20" t="s">
        <v>83</v>
      </c>
      <c r="AJ6" s="20" t="s">
        <v>84</v>
      </c>
      <c r="AK6" s="20" t="s">
        <v>85</v>
      </c>
      <c r="AL6" s="20" t="s">
        <v>82</v>
      </c>
      <c r="AM6" s="20" t="s">
        <v>83</v>
      </c>
      <c r="AN6" s="20" t="s">
        <v>84</v>
      </c>
      <c r="AO6" s="20" t="s">
        <v>85</v>
      </c>
      <c r="AP6" s="20" t="s">
        <v>82</v>
      </c>
      <c r="AQ6" s="20" t="s">
        <v>83</v>
      </c>
      <c r="AR6" s="20" t="s">
        <v>84</v>
      </c>
      <c r="AS6" s="20" t="s">
        <v>85</v>
      </c>
      <c r="AT6" s="20" t="s">
        <v>82</v>
      </c>
      <c r="AU6" s="20" t="s">
        <v>83</v>
      </c>
      <c r="AV6" s="20" t="s">
        <v>84</v>
      </c>
      <c r="AW6" s="20" t="s">
        <v>85</v>
      </c>
      <c r="AX6" s="20" t="s">
        <v>82</v>
      </c>
      <c r="AY6" s="20" t="s">
        <v>83</v>
      </c>
      <c r="AZ6" s="20" t="s">
        <v>84</v>
      </c>
      <c r="BA6" s="20" t="s">
        <v>85</v>
      </c>
    </row>
    <row r="7" spans="1:53" x14ac:dyDescent="0.3">
      <c r="A7" s="21" t="s">
        <v>86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</row>
    <row r="8" spans="1:53" x14ac:dyDescent="0.3">
      <c r="A8" s="21" t="s">
        <v>87</v>
      </c>
      <c r="B8" s="22"/>
      <c r="C8" s="22"/>
      <c r="D8" s="23">
        <f t="shared" ref="D8:D18" si="0">(B8)-(C8)</f>
        <v>0</v>
      </c>
      <c r="E8" s="24" t="str">
        <f t="shared" ref="E8:E18" si="1">IF(C8=0,"",(B8)/(C8))</f>
        <v/>
      </c>
      <c r="F8" s="22"/>
      <c r="G8" s="22"/>
      <c r="H8" s="23">
        <f t="shared" ref="H8:H18" si="2">(F8)-(G8)</f>
        <v>0</v>
      </c>
      <c r="I8" s="24" t="str">
        <f t="shared" ref="I8:I18" si="3">IF(G8=0,"",(F8)/(G8))</f>
        <v/>
      </c>
      <c r="J8" s="22"/>
      <c r="K8" s="22"/>
      <c r="L8" s="23">
        <f t="shared" ref="L8:L18" si="4">(J8)-(K8)</f>
        <v>0</v>
      </c>
      <c r="M8" s="24" t="str">
        <f t="shared" ref="M8:M18" si="5">IF(K8=0,"",(J8)/(K8))</f>
        <v/>
      </c>
      <c r="N8" s="22"/>
      <c r="O8" s="22"/>
      <c r="P8" s="23">
        <f t="shared" ref="P8:P18" si="6">(N8)-(O8)</f>
        <v>0</v>
      </c>
      <c r="Q8" s="24" t="str">
        <f t="shared" ref="Q8:Q18" si="7">IF(O8=0,"",(N8)/(O8))</f>
        <v/>
      </c>
      <c r="R8" s="22"/>
      <c r="S8" s="22"/>
      <c r="T8" s="23">
        <f t="shared" ref="T8:T18" si="8">(R8)-(S8)</f>
        <v>0</v>
      </c>
      <c r="U8" s="24" t="str">
        <f t="shared" ref="U8:U18" si="9">IF(S8=0,"",(R8)/(S8))</f>
        <v/>
      </c>
      <c r="V8" s="22"/>
      <c r="W8" s="22"/>
      <c r="X8" s="23">
        <f t="shared" ref="X8:X18" si="10">(V8)-(W8)</f>
        <v>0</v>
      </c>
      <c r="Y8" s="24" t="str">
        <f t="shared" ref="Y8:Y18" si="11">IF(W8=0,"",(V8)/(W8))</f>
        <v/>
      </c>
      <c r="Z8" s="22"/>
      <c r="AA8" s="22"/>
      <c r="AB8" s="23">
        <f t="shared" ref="AB8:AB18" si="12">(Z8)-(AA8)</f>
        <v>0</v>
      </c>
      <c r="AC8" s="24" t="str">
        <f t="shared" ref="AC8:AC18" si="13">IF(AA8=0,"",(Z8)/(AA8))</f>
        <v/>
      </c>
      <c r="AD8" s="22"/>
      <c r="AE8" s="22"/>
      <c r="AF8" s="23">
        <f t="shared" ref="AF8:AF18" si="14">(AD8)-(AE8)</f>
        <v>0</v>
      </c>
      <c r="AG8" s="24" t="str">
        <f t="shared" ref="AG8:AG18" si="15">IF(AE8=0,"",(AD8)/(AE8))</f>
        <v/>
      </c>
      <c r="AH8" s="22"/>
      <c r="AI8" s="22"/>
      <c r="AJ8" s="23">
        <f t="shared" ref="AJ8:AJ18" si="16">(AH8)-(AI8)</f>
        <v>0</v>
      </c>
      <c r="AK8" s="24" t="str">
        <f t="shared" ref="AK8:AK18" si="17">IF(AI8=0,"",(AH8)/(AI8))</f>
        <v/>
      </c>
      <c r="AL8" s="22"/>
      <c r="AM8" s="22"/>
      <c r="AN8" s="23">
        <f t="shared" ref="AN8:AN18" si="18">(AL8)-(AM8)</f>
        <v>0</v>
      </c>
      <c r="AO8" s="24" t="str">
        <f t="shared" ref="AO8:AO18" si="19">IF(AM8=0,"",(AL8)/(AM8))</f>
        <v/>
      </c>
      <c r="AP8" s="22"/>
      <c r="AQ8" s="22"/>
      <c r="AR8" s="23">
        <f t="shared" ref="AR8:AR18" si="20">(AP8)-(AQ8)</f>
        <v>0</v>
      </c>
      <c r="AS8" s="24" t="str">
        <f t="shared" ref="AS8:AS18" si="21">IF(AQ8=0,"",(AP8)/(AQ8))</f>
        <v/>
      </c>
      <c r="AT8" s="22"/>
      <c r="AU8" s="22"/>
      <c r="AV8" s="23">
        <f t="shared" ref="AV8:AV18" si="22">(AT8)-(AU8)</f>
        <v>0</v>
      </c>
      <c r="AW8" s="24" t="str">
        <f t="shared" ref="AW8:AW18" si="23">IF(AU8=0,"",(AT8)/(AU8))</f>
        <v/>
      </c>
      <c r="AX8" s="23">
        <f t="shared" ref="AX8:AY18" si="24">(((((((((((B8)+(F8))+(J8))+(N8))+(R8))+(V8))+(Z8))+(AD8))+(AH8))+(AL8))+(AP8))+(AT8)</f>
        <v>0</v>
      </c>
      <c r="AY8" s="23">
        <f t="shared" si="24"/>
        <v>0</v>
      </c>
      <c r="AZ8" s="23">
        <f t="shared" ref="AZ8:AZ18" si="25">(AX8)-(AY8)</f>
        <v>0</v>
      </c>
      <c r="BA8" s="24" t="str">
        <f t="shared" ref="BA8:BA18" si="26">IF(AY8=0,"",(AX8)/(AY8))</f>
        <v/>
      </c>
    </row>
    <row r="9" spans="1:53" x14ac:dyDescent="0.3">
      <c r="A9" s="21" t="s">
        <v>88</v>
      </c>
      <c r="B9" s="22"/>
      <c r="C9" s="22"/>
      <c r="D9" s="23">
        <f t="shared" si="0"/>
        <v>0</v>
      </c>
      <c r="E9" s="24" t="str">
        <f t="shared" si="1"/>
        <v/>
      </c>
      <c r="F9" s="22"/>
      <c r="G9" s="22"/>
      <c r="H9" s="23">
        <f t="shared" si="2"/>
        <v>0</v>
      </c>
      <c r="I9" s="24" t="str">
        <f t="shared" si="3"/>
        <v/>
      </c>
      <c r="J9" s="23">
        <f>9460</f>
        <v>9460</v>
      </c>
      <c r="K9" s="22"/>
      <c r="L9" s="23">
        <f t="shared" si="4"/>
        <v>9460</v>
      </c>
      <c r="M9" s="24" t="str">
        <f t="shared" si="5"/>
        <v/>
      </c>
      <c r="N9" s="22"/>
      <c r="O9" s="22"/>
      <c r="P9" s="23">
        <f t="shared" si="6"/>
        <v>0</v>
      </c>
      <c r="Q9" s="24" t="str">
        <f t="shared" si="7"/>
        <v/>
      </c>
      <c r="R9" s="22"/>
      <c r="S9" s="22"/>
      <c r="T9" s="23">
        <f t="shared" si="8"/>
        <v>0</v>
      </c>
      <c r="U9" s="24" t="str">
        <f t="shared" si="9"/>
        <v/>
      </c>
      <c r="V9" s="22"/>
      <c r="W9" s="22"/>
      <c r="X9" s="23">
        <f t="shared" si="10"/>
        <v>0</v>
      </c>
      <c r="Y9" s="24" t="str">
        <f t="shared" si="11"/>
        <v/>
      </c>
      <c r="Z9" s="22"/>
      <c r="AA9" s="22"/>
      <c r="AB9" s="23">
        <f t="shared" si="12"/>
        <v>0</v>
      </c>
      <c r="AC9" s="24" t="str">
        <f t="shared" si="13"/>
        <v/>
      </c>
      <c r="AD9" s="22"/>
      <c r="AE9" s="22"/>
      <c r="AF9" s="23">
        <f t="shared" si="14"/>
        <v>0</v>
      </c>
      <c r="AG9" s="24" t="str">
        <f t="shared" si="15"/>
        <v/>
      </c>
      <c r="AH9" s="22"/>
      <c r="AI9" s="22"/>
      <c r="AJ9" s="23">
        <f t="shared" si="16"/>
        <v>0</v>
      </c>
      <c r="AK9" s="24" t="str">
        <f t="shared" si="17"/>
        <v/>
      </c>
      <c r="AL9" s="22"/>
      <c r="AM9" s="22"/>
      <c r="AN9" s="23">
        <f t="shared" si="18"/>
        <v>0</v>
      </c>
      <c r="AO9" s="24" t="str">
        <f t="shared" si="19"/>
        <v/>
      </c>
      <c r="AP9" s="22"/>
      <c r="AQ9" s="22"/>
      <c r="AR9" s="23">
        <f t="shared" si="20"/>
        <v>0</v>
      </c>
      <c r="AS9" s="24" t="str">
        <f t="shared" si="21"/>
        <v/>
      </c>
      <c r="AT9" s="22"/>
      <c r="AU9" s="22"/>
      <c r="AV9" s="23">
        <f t="shared" si="22"/>
        <v>0</v>
      </c>
      <c r="AW9" s="24" t="str">
        <f t="shared" si="23"/>
        <v/>
      </c>
      <c r="AX9" s="23">
        <f t="shared" si="24"/>
        <v>9460</v>
      </c>
      <c r="AY9" s="23">
        <f t="shared" si="24"/>
        <v>0</v>
      </c>
      <c r="AZ9" s="23">
        <f t="shared" si="25"/>
        <v>9460</v>
      </c>
      <c r="BA9" s="24" t="str">
        <f t="shared" si="26"/>
        <v/>
      </c>
    </row>
    <row r="10" spans="1:53" x14ac:dyDescent="0.3">
      <c r="A10" s="21" t="s">
        <v>89</v>
      </c>
      <c r="B10" s="23">
        <f>62.06</f>
        <v>62.06</v>
      </c>
      <c r="C10" s="22"/>
      <c r="D10" s="23">
        <f t="shared" si="0"/>
        <v>62.06</v>
      </c>
      <c r="E10" s="24" t="str">
        <f t="shared" si="1"/>
        <v/>
      </c>
      <c r="F10" s="23">
        <f>500</f>
        <v>500</v>
      </c>
      <c r="G10" s="22"/>
      <c r="H10" s="23">
        <f t="shared" si="2"/>
        <v>500</v>
      </c>
      <c r="I10" s="24" t="str">
        <f t="shared" si="3"/>
        <v/>
      </c>
      <c r="J10" s="22"/>
      <c r="K10" s="22"/>
      <c r="L10" s="23">
        <f t="shared" si="4"/>
        <v>0</v>
      </c>
      <c r="M10" s="24" t="str">
        <f t="shared" si="5"/>
        <v/>
      </c>
      <c r="N10" s="23">
        <f>2.4</f>
        <v>2.4</v>
      </c>
      <c r="O10" s="22"/>
      <c r="P10" s="23">
        <f t="shared" si="6"/>
        <v>2.4</v>
      </c>
      <c r="Q10" s="24" t="str">
        <f t="shared" si="7"/>
        <v/>
      </c>
      <c r="R10" s="23">
        <f>42.66</f>
        <v>42.66</v>
      </c>
      <c r="S10" s="22"/>
      <c r="T10" s="23">
        <f t="shared" si="8"/>
        <v>42.66</v>
      </c>
      <c r="U10" s="24" t="str">
        <f t="shared" si="9"/>
        <v/>
      </c>
      <c r="V10" s="23">
        <f>2</f>
        <v>2</v>
      </c>
      <c r="W10" s="22"/>
      <c r="X10" s="23">
        <f t="shared" si="10"/>
        <v>2</v>
      </c>
      <c r="Y10" s="24" t="str">
        <f t="shared" si="11"/>
        <v/>
      </c>
      <c r="Z10" s="22"/>
      <c r="AA10" s="22"/>
      <c r="AB10" s="23">
        <f t="shared" si="12"/>
        <v>0</v>
      </c>
      <c r="AC10" s="24" t="str">
        <f t="shared" si="13"/>
        <v/>
      </c>
      <c r="AD10" s="22"/>
      <c r="AE10" s="22"/>
      <c r="AF10" s="23">
        <f t="shared" si="14"/>
        <v>0</v>
      </c>
      <c r="AG10" s="24" t="str">
        <f t="shared" si="15"/>
        <v/>
      </c>
      <c r="AH10" s="22"/>
      <c r="AI10" s="22"/>
      <c r="AJ10" s="23">
        <f t="shared" si="16"/>
        <v>0</v>
      </c>
      <c r="AK10" s="24" t="str">
        <f t="shared" si="17"/>
        <v/>
      </c>
      <c r="AL10" s="22"/>
      <c r="AM10" s="22"/>
      <c r="AN10" s="23">
        <f t="shared" si="18"/>
        <v>0</v>
      </c>
      <c r="AO10" s="24" t="str">
        <f t="shared" si="19"/>
        <v/>
      </c>
      <c r="AP10" s="22"/>
      <c r="AQ10" s="22"/>
      <c r="AR10" s="23">
        <f t="shared" si="20"/>
        <v>0</v>
      </c>
      <c r="AS10" s="24" t="str">
        <f t="shared" si="21"/>
        <v/>
      </c>
      <c r="AT10" s="22"/>
      <c r="AU10" s="22"/>
      <c r="AV10" s="23">
        <f t="shared" si="22"/>
        <v>0</v>
      </c>
      <c r="AW10" s="24" t="str">
        <f t="shared" si="23"/>
        <v/>
      </c>
      <c r="AX10" s="23">
        <f t="shared" si="24"/>
        <v>609.11999999999989</v>
      </c>
      <c r="AY10" s="23">
        <f t="shared" si="24"/>
        <v>0</v>
      </c>
      <c r="AZ10" s="23">
        <f t="shared" si="25"/>
        <v>609.11999999999989</v>
      </c>
      <c r="BA10" s="24" t="str">
        <f t="shared" si="26"/>
        <v/>
      </c>
    </row>
    <row r="11" spans="1:53" x14ac:dyDescent="0.3">
      <c r="A11" s="21" t="s">
        <v>90</v>
      </c>
      <c r="B11" s="25">
        <f>((B8)+(B9))+(B10)</f>
        <v>62.06</v>
      </c>
      <c r="C11" s="25">
        <f>((C8)+(C9))+(C10)</f>
        <v>0</v>
      </c>
      <c r="D11" s="25">
        <f t="shared" si="0"/>
        <v>62.06</v>
      </c>
      <c r="E11" s="26" t="str">
        <f t="shared" si="1"/>
        <v/>
      </c>
      <c r="F11" s="25">
        <f>((F8)+(F9))+(F10)</f>
        <v>500</v>
      </c>
      <c r="G11" s="25">
        <f>((G8)+(G9))+(G10)</f>
        <v>0</v>
      </c>
      <c r="H11" s="25">
        <f t="shared" si="2"/>
        <v>500</v>
      </c>
      <c r="I11" s="26" t="str">
        <f t="shared" si="3"/>
        <v/>
      </c>
      <c r="J11" s="25">
        <f>((J8)+(J9))+(J10)</f>
        <v>9460</v>
      </c>
      <c r="K11" s="25">
        <f>((K8)+(K9))+(K10)</f>
        <v>0</v>
      </c>
      <c r="L11" s="25">
        <f t="shared" si="4"/>
        <v>9460</v>
      </c>
      <c r="M11" s="26" t="str">
        <f t="shared" si="5"/>
        <v/>
      </c>
      <c r="N11" s="25">
        <f>((N8)+(N9))+(N10)</f>
        <v>2.4</v>
      </c>
      <c r="O11" s="25">
        <f>((O8)+(O9))+(O10)</f>
        <v>0</v>
      </c>
      <c r="P11" s="25">
        <f t="shared" si="6"/>
        <v>2.4</v>
      </c>
      <c r="Q11" s="26" t="str">
        <f t="shared" si="7"/>
        <v/>
      </c>
      <c r="R11" s="25">
        <f>((R8)+(R9))+(R10)</f>
        <v>42.66</v>
      </c>
      <c r="S11" s="25">
        <f>((S8)+(S9))+(S10)</f>
        <v>0</v>
      </c>
      <c r="T11" s="25">
        <f t="shared" si="8"/>
        <v>42.66</v>
      </c>
      <c r="U11" s="26" t="str">
        <f t="shared" si="9"/>
        <v/>
      </c>
      <c r="V11" s="25">
        <f>((V8)+(V9))+(V10)</f>
        <v>2</v>
      </c>
      <c r="W11" s="25">
        <f>((W8)+(W9))+(W10)</f>
        <v>0</v>
      </c>
      <c r="X11" s="25">
        <f t="shared" si="10"/>
        <v>2</v>
      </c>
      <c r="Y11" s="26" t="str">
        <f t="shared" si="11"/>
        <v/>
      </c>
      <c r="Z11" s="25">
        <f>((Z8)+(Z9))+(Z10)</f>
        <v>0</v>
      </c>
      <c r="AA11" s="25">
        <f>((AA8)+(AA9))+(AA10)</f>
        <v>0</v>
      </c>
      <c r="AB11" s="25">
        <f t="shared" si="12"/>
        <v>0</v>
      </c>
      <c r="AC11" s="26" t="str">
        <f t="shared" si="13"/>
        <v/>
      </c>
      <c r="AD11" s="25">
        <f>((AD8)+(AD9))+(AD10)</f>
        <v>0</v>
      </c>
      <c r="AE11" s="25">
        <f>((AE8)+(AE9))+(AE10)</f>
        <v>0</v>
      </c>
      <c r="AF11" s="25">
        <f t="shared" si="14"/>
        <v>0</v>
      </c>
      <c r="AG11" s="26" t="str">
        <f t="shared" si="15"/>
        <v/>
      </c>
      <c r="AH11" s="25">
        <f>((AH8)+(AH9))+(AH10)</f>
        <v>0</v>
      </c>
      <c r="AI11" s="25">
        <f>((AI8)+(AI9))+(AI10)</f>
        <v>0</v>
      </c>
      <c r="AJ11" s="25">
        <f t="shared" si="16"/>
        <v>0</v>
      </c>
      <c r="AK11" s="26" t="str">
        <f t="shared" si="17"/>
        <v/>
      </c>
      <c r="AL11" s="25">
        <f>((AL8)+(AL9))+(AL10)</f>
        <v>0</v>
      </c>
      <c r="AM11" s="25">
        <f>((AM8)+(AM9))+(AM10)</f>
        <v>0</v>
      </c>
      <c r="AN11" s="25">
        <f t="shared" si="18"/>
        <v>0</v>
      </c>
      <c r="AO11" s="26" t="str">
        <f t="shared" si="19"/>
        <v/>
      </c>
      <c r="AP11" s="25">
        <f>((AP8)+(AP9))+(AP10)</f>
        <v>0</v>
      </c>
      <c r="AQ11" s="25">
        <f>((AQ8)+(AQ9))+(AQ10)</f>
        <v>0</v>
      </c>
      <c r="AR11" s="25">
        <f t="shared" si="20"/>
        <v>0</v>
      </c>
      <c r="AS11" s="26" t="str">
        <f t="shared" si="21"/>
        <v/>
      </c>
      <c r="AT11" s="25">
        <f>((AT8)+(AT9))+(AT10)</f>
        <v>0</v>
      </c>
      <c r="AU11" s="25">
        <f>((AU8)+(AU9))+(AU10)</f>
        <v>0</v>
      </c>
      <c r="AV11" s="25">
        <f t="shared" si="22"/>
        <v>0</v>
      </c>
      <c r="AW11" s="26" t="str">
        <f t="shared" si="23"/>
        <v/>
      </c>
      <c r="AX11" s="25">
        <f t="shared" si="24"/>
        <v>10069.119999999999</v>
      </c>
      <c r="AY11" s="25">
        <f t="shared" si="24"/>
        <v>0</v>
      </c>
      <c r="AZ11" s="25">
        <f t="shared" si="25"/>
        <v>10069.119999999999</v>
      </c>
      <c r="BA11" s="26" t="str">
        <f t="shared" si="26"/>
        <v/>
      </c>
    </row>
    <row r="12" spans="1:53" x14ac:dyDescent="0.3">
      <c r="A12" s="21" t="s">
        <v>91</v>
      </c>
      <c r="B12" s="23">
        <f>257.54</f>
        <v>257.54000000000002</v>
      </c>
      <c r="C12" s="22"/>
      <c r="D12" s="23">
        <f t="shared" si="0"/>
        <v>257.54000000000002</v>
      </c>
      <c r="E12" s="24" t="str">
        <f t="shared" si="1"/>
        <v/>
      </c>
      <c r="F12" s="23">
        <f>149.9</f>
        <v>149.9</v>
      </c>
      <c r="G12" s="22"/>
      <c r="H12" s="23">
        <f t="shared" si="2"/>
        <v>149.9</v>
      </c>
      <c r="I12" s="24" t="str">
        <f t="shared" si="3"/>
        <v/>
      </c>
      <c r="J12" s="22"/>
      <c r="K12" s="22"/>
      <c r="L12" s="23">
        <f t="shared" si="4"/>
        <v>0</v>
      </c>
      <c r="M12" s="24" t="str">
        <f t="shared" si="5"/>
        <v/>
      </c>
      <c r="N12" s="23">
        <f>563.4</f>
        <v>563.4</v>
      </c>
      <c r="O12" s="22"/>
      <c r="P12" s="23">
        <f t="shared" si="6"/>
        <v>563.4</v>
      </c>
      <c r="Q12" s="24" t="str">
        <f t="shared" si="7"/>
        <v/>
      </c>
      <c r="R12" s="23">
        <f>263</f>
        <v>263</v>
      </c>
      <c r="S12" s="22"/>
      <c r="T12" s="23">
        <f t="shared" si="8"/>
        <v>263</v>
      </c>
      <c r="U12" s="24" t="str">
        <f t="shared" si="9"/>
        <v/>
      </c>
      <c r="V12" s="23">
        <f>391.8</f>
        <v>391.8</v>
      </c>
      <c r="W12" s="22"/>
      <c r="X12" s="23">
        <f t="shared" si="10"/>
        <v>391.8</v>
      </c>
      <c r="Y12" s="24" t="str">
        <f t="shared" si="11"/>
        <v/>
      </c>
      <c r="Z12" s="23">
        <f>85.3</f>
        <v>85.3</v>
      </c>
      <c r="AA12" s="22"/>
      <c r="AB12" s="23">
        <f t="shared" si="12"/>
        <v>85.3</v>
      </c>
      <c r="AC12" s="24" t="str">
        <f t="shared" si="13"/>
        <v/>
      </c>
      <c r="AD12" s="22"/>
      <c r="AE12" s="22"/>
      <c r="AF12" s="23">
        <f t="shared" si="14"/>
        <v>0</v>
      </c>
      <c r="AG12" s="24" t="str">
        <f t="shared" si="15"/>
        <v/>
      </c>
      <c r="AH12" s="23">
        <f>412.12</f>
        <v>412.12</v>
      </c>
      <c r="AI12" s="22"/>
      <c r="AJ12" s="23">
        <f t="shared" si="16"/>
        <v>412.12</v>
      </c>
      <c r="AK12" s="24" t="str">
        <f t="shared" si="17"/>
        <v/>
      </c>
      <c r="AL12" s="23">
        <f>298</f>
        <v>298</v>
      </c>
      <c r="AM12" s="22"/>
      <c r="AN12" s="23">
        <f t="shared" si="18"/>
        <v>298</v>
      </c>
      <c r="AO12" s="24" t="str">
        <f t="shared" si="19"/>
        <v/>
      </c>
      <c r="AP12" s="23">
        <f>408.32</f>
        <v>408.32</v>
      </c>
      <c r="AQ12" s="22"/>
      <c r="AR12" s="23">
        <f t="shared" si="20"/>
        <v>408.32</v>
      </c>
      <c r="AS12" s="24" t="str">
        <f t="shared" si="21"/>
        <v/>
      </c>
      <c r="AT12" s="23">
        <f>194.1</f>
        <v>194.1</v>
      </c>
      <c r="AU12" s="22"/>
      <c r="AV12" s="23">
        <f t="shared" si="22"/>
        <v>194.1</v>
      </c>
      <c r="AW12" s="24" t="str">
        <f t="shared" si="23"/>
        <v/>
      </c>
      <c r="AX12" s="23">
        <f t="shared" si="24"/>
        <v>3023.48</v>
      </c>
      <c r="AY12" s="23">
        <f t="shared" si="24"/>
        <v>0</v>
      </c>
      <c r="AZ12" s="23">
        <f t="shared" si="25"/>
        <v>3023.48</v>
      </c>
      <c r="BA12" s="24" t="str">
        <f t="shared" si="26"/>
        <v/>
      </c>
    </row>
    <row r="13" spans="1:53" x14ac:dyDescent="0.3">
      <c r="A13" s="21" t="s">
        <v>92</v>
      </c>
      <c r="B13" s="23">
        <f>26.12</f>
        <v>26.12</v>
      </c>
      <c r="C13" s="22"/>
      <c r="D13" s="23">
        <f t="shared" si="0"/>
        <v>26.12</v>
      </c>
      <c r="E13" s="24" t="str">
        <f t="shared" si="1"/>
        <v/>
      </c>
      <c r="F13" s="23">
        <f>260.17</f>
        <v>260.17</v>
      </c>
      <c r="G13" s="22"/>
      <c r="H13" s="23">
        <f t="shared" si="2"/>
        <v>260.17</v>
      </c>
      <c r="I13" s="24" t="str">
        <f t="shared" si="3"/>
        <v/>
      </c>
      <c r="J13" s="22"/>
      <c r="K13" s="22"/>
      <c r="L13" s="23">
        <f t="shared" si="4"/>
        <v>0</v>
      </c>
      <c r="M13" s="24" t="str">
        <f t="shared" si="5"/>
        <v/>
      </c>
      <c r="N13" s="23">
        <f>17.96</f>
        <v>17.96</v>
      </c>
      <c r="O13" s="22"/>
      <c r="P13" s="23">
        <f t="shared" si="6"/>
        <v>17.96</v>
      </c>
      <c r="Q13" s="24" t="str">
        <f t="shared" si="7"/>
        <v/>
      </c>
      <c r="R13" s="23">
        <f>12.92</f>
        <v>12.92</v>
      </c>
      <c r="S13" s="22"/>
      <c r="T13" s="23">
        <f t="shared" si="8"/>
        <v>12.92</v>
      </c>
      <c r="U13" s="24" t="str">
        <f t="shared" si="9"/>
        <v/>
      </c>
      <c r="V13" s="23">
        <f>49.48</f>
        <v>49.48</v>
      </c>
      <c r="W13" s="22"/>
      <c r="X13" s="23">
        <f t="shared" si="10"/>
        <v>49.48</v>
      </c>
      <c r="Y13" s="24" t="str">
        <f t="shared" si="11"/>
        <v/>
      </c>
      <c r="Z13" s="23">
        <f>57.47</f>
        <v>57.47</v>
      </c>
      <c r="AA13" s="22"/>
      <c r="AB13" s="23">
        <f t="shared" si="12"/>
        <v>57.47</v>
      </c>
      <c r="AC13" s="24" t="str">
        <f t="shared" si="13"/>
        <v/>
      </c>
      <c r="AD13" s="23">
        <f>83.52</f>
        <v>83.52</v>
      </c>
      <c r="AE13" s="22"/>
      <c r="AF13" s="23">
        <f t="shared" si="14"/>
        <v>83.52</v>
      </c>
      <c r="AG13" s="24" t="str">
        <f t="shared" si="15"/>
        <v/>
      </c>
      <c r="AH13" s="23">
        <f>963.01</f>
        <v>963.01</v>
      </c>
      <c r="AI13" s="22"/>
      <c r="AJ13" s="23">
        <f t="shared" si="16"/>
        <v>963.01</v>
      </c>
      <c r="AK13" s="24" t="str">
        <f t="shared" si="17"/>
        <v/>
      </c>
      <c r="AL13" s="23">
        <f>187.4</f>
        <v>187.4</v>
      </c>
      <c r="AM13" s="22"/>
      <c r="AN13" s="23">
        <f t="shared" si="18"/>
        <v>187.4</v>
      </c>
      <c r="AO13" s="24" t="str">
        <f t="shared" si="19"/>
        <v/>
      </c>
      <c r="AP13" s="23">
        <f>76.58</f>
        <v>76.58</v>
      </c>
      <c r="AQ13" s="22"/>
      <c r="AR13" s="23">
        <f t="shared" si="20"/>
        <v>76.58</v>
      </c>
      <c r="AS13" s="24" t="str">
        <f t="shared" si="21"/>
        <v/>
      </c>
      <c r="AT13" s="23">
        <f>67.94</f>
        <v>67.94</v>
      </c>
      <c r="AU13" s="22"/>
      <c r="AV13" s="23">
        <f t="shared" si="22"/>
        <v>67.94</v>
      </c>
      <c r="AW13" s="24" t="str">
        <f t="shared" si="23"/>
        <v/>
      </c>
      <c r="AX13" s="23">
        <f t="shared" si="24"/>
        <v>1802.5700000000002</v>
      </c>
      <c r="AY13" s="23">
        <f t="shared" si="24"/>
        <v>0</v>
      </c>
      <c r="AZ13" s="23">
        <f t="shared" si="25"/>
        <v>1802.5700000000002</v>
      </c>
      <c r="BA13" s="24" t="str">
        <f t="shared" si="26"/>
        <v/>
      </c>
    </row>
    <row r="14" spans="1:53" x14ac:dyDescent="0.3">
      <c r="A14" s="21" t="s">
        <v>93</v>
      </c>
      <c r="B14" s="23">
        <f>287.64</f>
        <v>287.64</v>
      </c>
      <c r="C14" s="22"/>
      <c r="D14" s="23">
        <f t="shared" si="0"/>
        <v>287.64</v>
      </c>
      <c r="E14" s="24" t="str">
        <f t="shared" si="1"/>
        <v/>
      </c>
      <c r="F14" s="23">
        <f>335.63</f>
        <v>335.63</v>
      </c>
      <c r="G14" s="22"/>
      <c r="H14" s="23">
        <f t="shared" si="2"/>
        <v>335.63</v>
      </c>
      <c r="I14" s="24" t="str">
        <f t="shared" si="3"/>
        <v/>
      </c>
      <c r="J14" s="23">
        <f>372.26</f>
        <v>372.26</v>
      </c>
      <c r="K14" s="22"/>
      <c r="L14" s="23">
        <f t="shared" si="4"/>
        <v>372.26</v>
      </c>
      <c r="M14" s="24" t="str">
        <f t="shared" si="5"/>
        <v/>
      </c>
      <c r="N14" s="23">
        <f>4036.33</f>
        <v>4036.33</v>
      </c>
      <c r="O14" s="22"/>
      <c r="P14" s="23">
        <f t="shared" si="6"/>
        <v>4036.33</v>
      </c>
      <c r="Q14" s="24" t="str">
        <f t="shared" si="7"/>
        <v/>
      </c>
      <c r="R14" s="23">
        <f>3577.82</f>
        <v>3577.82</v>
      </c>
      <c r="S14" s="22"/>
      <c r="T14" s="23">
        <f t="shared" si="8"/>
        <v>3577.82</v>
      </c>
      <c r="U14" s="24" t="str">
        <f t="shared" si="9"/>
        <v/>
      </c>
      <c r="V14" s="23">
        <f>2467.56</f>
        <v>2467.56</v>
      </c>
      <c r="W14" s="22"/>
      <c r="X14" s="23">
        <f t="shared" si="10"/>
        <v>2467.56</v>
      </c>
      <c r="Y14" s="24" t="str">
        <f t="shared" si="11"/>
        <v/>
      </c>
      <c r="Z14" s="23">
        <f>4836.83</f>
        <v>4836.83</v>
      </c>
      <c r="AA14" s="22"/>
      <c r="AB14" s="23">
        <f t="shared" si="12"/>
        <v>4836.83</v>
      </c>
      <c r="AC14" s="24" t="str">
        <f t="shared" si="13"/>
        <v/>
      </c>
      <c r="AD14" s="23">
        <f>5474.05</f>
        <v>5474.05</v>
      </c>
      <c r="AE14" s="22"/>
      <c r="AF14" s="23">
        <f t="shared" si="14"/>
        <v>5474.05</v>
      </c>
      <c r="AG14" s="24" t="str">
        <f t="shared" si="15"/>
        <v/>
      </c>
      <c r="AH14" s="23">
        <f>6502.27</f>
        <v>6502.27</v>
      </c>
      <c r="AI14" s="22"/>
      <c r="AJ14" s="23">
        <f t="shared" si="16"/>
        <v>6502.27</v>
      </c>
      <c r="AK14" s="24" t="str">
        <f t="shared" si="17"/>
        <v/>
      </c>
      <c r="AL14" s="23">
        <f>5292.03</f>
        <v>5292.03</v>
      </c>
      <c r="AM14" s="22"/>
      <c r="AN14" s="23">
        <f t="shared" si="18"/>
        <v>5292.03</v>
      </c>
      <c r="AO14" s="24" t="str">
        <f t="shared" si="19"/>
        <v/>
      </c>
      <c r="AP14" s="23">
        <f>4816.85</f>
        <v>4816.8500000000004</v>
      </c>
      <c r="AQ14" s="22"/>
      <c r="AR14" s="23">
        <f t="shared" si="20"/>
        <v>4816.8500000000004</v>
      </c>
      <c r="AS14" s="24" t="str">
        <f t="shared" si="21"/>
        <v/>
      </c>
      <c r="AT14" s="23">
        <f>4454.94</f>
        <v>4454.9399999999996</v>
      </c>
      <c r="AU14" s="22"/>
      <c r="AV14" s="23">
        <f t="shared" si="22"/>
        <v>4454.9399999999996</v>
      </c>
      <c r="AW14" s="24" t="str">
        <f t="shared" si="23"/>
        <v/>
      </c>
      <c r="AX14" s="23">
        <f t="shared" si="24"/>
        <v>42454.21</v>
      </c>
      <c r="AY14" s="23">
        <f t="shared" si="24"/>
        <v>0</v>
      </c>
      <c r="AZ14" s="23">
        <f t="shared" si="25"/>
        <v>42454.21</v>
      </c>
      <c r="BA14" s="24" t="str">
        <f t="shared" si="26"/>
        <v/>
      </c>
    </row>
    <row r="15" spans="1:53" x14ac:dyDescent="0.3">
      <c r="A15" s="21" t="s">
        <v>94</v>
      </c>
      <c r="B15" s="23">
        <f>23485.69</f>
        <v>23485.69</v>
      </c>
      <c r="C15" s="22"/>
      <c r="D15" s="23">
        <f t="shared" si="0"/>
        <v>23485.69</v>
      </c>
      <c r="E15" s="24" t="str">
        <f t="shared" si="1"/>
        <v/>
      </c>
      <c r="F15" s="23">
        <f>336669.33</f>
        <v>336669.33</v>
      </c>
      <c r="G15" s="22"/>
      <c r="H15" s="23">
        <f t="shared" si="2"/>
        <v>336669.33</v>
      </c>
      <c r="I15" s="24" t="str">
        <f t="shared" si="3"/>
        <v/>
      </c>
      <c r="J15" s="23">
        <f>51629.76</f>
        <v>51629.760000000002</v>
      </c>
      <c r="K15" s="22"/>
      <c r="L15" s="23">
        <f t="shared" si="4"/>
        <v>51629.760000000002</v>
      </c>
      <c r="M15" s="24" t="str">
        <f t="shared" si="5"/>
        <v/>
      </c>
      <c r="N15" s="23">
        <f>182766.38</f>
        <v>182766.38</v>
      </c>
      <c r="O15" s="22"/>
      <c r="P15" s="23">
        <f t="shared" si="6"/>
        <v>182766.38</v>
      </c>
      <c r="Q15" s="24" t="str">
        <f t="shared" si="7"/>
        <v/>
      </c>
      <c r="R15" s="23">
        <f>43509.17</f>
        <v>43509.17</v>
      </c>
      <c r="S15" s="22"/>
      <c r="T15" s="23">
        <f t="shared" si="8"/>
        <v>43509.17</v>
      </c>
      <c r="U15" s="24" t="str">
        <f t="shared" si="9"/>
        <v/>
      </c>
      <c r="V15" s="23">
        <f>269756.15</f>
        <v>269756.15000000002</v>
      </c>
      <c r="W15" s="22"/>
      <c r="X15" s="23">
        <f t="shared" si="10"/>
        <v>269756.15000000002</v>
      </c>
      <c r="Y15" s="24" t="str">
        <f t="shared" si="11"/>
        <v/>
      </c>
      <c r="Z15" s="23">
        <f>9425.94</f>
        <v>9425.94</v>
      </c>
      <c r="AA15" s="22"/>
      <c r="AB15" s="23">
        <f t="shared" si="12"/>
        <v>9425.94</v>
      </c>
      <c r="AC15" s="24" t="str">
        <f t="shared" si="13"/>
        <v/>
      </c>
      <c r="AD15" s="23">
        <f>5020.8</f>
        <v>5020.8</v>
      </c>
      <c r="AE15" s="22"/>
      <c r="AF15" s="23">
        <f t="shared" si="14"/>
        <v>5020.8</v>
      </c>
      <c r="AG15" s="24" t="str">
        <f t="shared" si="15"/>
        <v/>
      </c>
      <c r="AH15" s="23">
        <f>949.5</f>
        <v>949.5</v>
      </c>
      <c r="AI15" s="22"/>
      <c r="AJ15" s="23">
        <f t="shared" si="16"/>
        <v>949.5</v>
      </c>
      <c r="AK15" s="24" t="str">
        <f t="shared" si="17"/>
        <v/>
      </c>
      <c r="AL15" s="23">
        <f>1874.51</f>
        <v>1874.51</v>
      </c>
      <c r="AM15" s="22"/>
      <c r="AN15" s="23">
        <f t="shared" si="18"/>
        <v>1874.51</v>
      </c>
      <c r="AO15" s="24" t="str">
        <f t="shared" si="19"/>
        <v/>
      </c>
      <c r="AP15" s="23">
        <f>6104.64</f>
        <v>6104.64</v>
      </c>
      <c r="AQ15" s="22"/>
      <c r="AR15" s="23">
        <f t="shared" si="20"/>
        <v>6104.64</v>
      </c>
      <c r="AS15" s="24" t="str">
        <f t="shared" si="21"/>
        <v/>
      </c>
      <c r="AT15" s="22"/>
      <c r="AU15" s="22"/>
      <c r="AV15" s="23">
        <f t="shared" si="22"/>
        <v>0</v>
      </c>
      <c r="AW15" s="24" t="str">
        <f t="shared" si="23"/>
        <v/>
      </c>
      <c r="AX15" s="23">
        <f t="shared" si="24"/>
        <v>931191.87000000011</v>
      </c>
      <c r="AY15" s="23">
        <f t="shared" si="24"/>
        <v>0</v>
      </c>
      <c r="AZ15" s="23">
        <f t="shared" si="25"/>
        <v>931191.87000000011</v>
      </c>
      <c r="BA15" s="24" t="str">
        <f t="shared" si="26"/>
        <v/>
      </c>
    </row>
    <row r="16" spans="1:53" x14ac:dyDescent="0.3">
      <c r="A16" s="21" t="s">
        <v>95</v>
      </c>
      <c r="B16" s="23">
        <f>9414.07</f>
        <v>9414.07</v>
      </c>
      <c r="C16" s="22"/>
      <c r="D16" s="23">
        <f t="shared" si="0"/>
        <v>9414.07</v>
      </c>
      <c r="E16" s="24" t="str">
        <f t="shared" si="1"/>
        <v/>
      </c>
      <c r="F16" s="23">
        <f>4623.43</f>
        <v>4623.43</v>
      </c>
      <c r="G16" s="22"/>
      <c r="H16" s="23">
        <f t="shared" si="2"/>
        <v>4623.43</v>
      </c>
      <c r="I16" s="24" t="str">
        <f t="shared" si="3"/>
        <v/>
      </c>
      <c r="J16" s="23">
        <f>5252.02</f>
        <v>5252.02</v>
      </c>
      <c r="K16" s="22"/>
      <c r="L16" s="23">
        <f t="shared" si="4"/>
        <v>5252.02</v>
      </c>
      <c r="M16" s="24" t="str">
        <f t="shared" si="5"/>
        <v/>
      </c>
      <c r="N16" s="23">
        <f>4789.87</f>
        <v>4789.87</v>
      </c>
      <c r="O16" s="22"/>
      <c r="P16" s="23">
        <f t="shared" si="6"/>
        <v>4789.87</v>
      </c>
      <c r="Q16" s="24" t="str">
        <f t="shared" si="7"/>
        <v/>
      </c>
      <c r="R16" s="23">
        <f>4710.13</f>
        <v>4710.13</v>
      </c>
      <c r="S16" s="22"/>
      <c r="T16" s="23">
        <f t="shared" si="8"/>
        <v>4710.13</v>
      </c>
      <c r="U16" s="24" t="str">
        <f t="shared" si="9"/>
        <v/>
      </c>
      <c r="V16" s="23">
        <f>4827.03</f>
        <v>4827.03</v>
      </c>
      <c r="W16" s="22"/>
      <c r="X16" s="23">
        <f t="shared" si="10"/>
        <v>4827.03</v>
      </c>
      <c r="Y16" s="24" t="str">
        <f t="shared" si="11"/>
        <v/>
      </c>
      <c r="Z16" s="23">
        <f>5223.25</f>
        <v>5223.25</v>
      </c>
      <c r="AA16" s="22"/>
      <c r="AB16" s="23">
        <f t="shared" si="12"/>
        <v>5223.25</v>
      </c>
      <c r="AC16" s="24" t="str">
        <f t="shared" si="13"/>
        <v/>
      </c>
      <c r="AD16" s="23">
        <f>4957.48</f>
        <v>4957.4799999999996</v>
      </c>
      <c r="AE16" s="22"/>
      <c r="AF16" s="23">
        <f t="shared" si="14"/>
        <v>4957.4799999999996</v>
      </c>
      <c r="AG16" s="24" t="str">
        <f t="shared" si="15"/>
        <v/>
      </c>
      <c r="AH16" s="23">
        <f>5171.4</f>
        <v>5171.3999999999996</v>
      </c>
      <c r="AI16" s="22"/>
      <c r="AJ16" s="23">
        <f t="shared" si="16"/>
        <v>5171.3999999999996</v>
      </c>
      <c r="AK16" s="24" t="str">
        <f t="shared" si="17"/>
        <v/>
      </c>
      <c r="AL16" s="23">
        <f>5297.21</f>
        <v>5297.21</v>
      </c>
      <c r="AM16" s="22"/>
      <c r="AN16" s="23">
        <f t="shared" si="18"/>
        <v>5297.21</v>
      </c>
      <c r="AO16" s="24" t="str">
        <f t="shared" si="19"/>
        <v/>
      </c>
      <c r="AP16" s="23">
        <f>4171.57</f>
        <v>4171.57</v>
      </c>
      <c r="AQ16" s="22"/>
      <c r="AR16" s="23">
        <f t="shared" si="20"/>
        <v>4171.57</v>
      </c>
      <c r="AS16" s="24" t="str">
        <f t="shared" si="21"/>
        <v/>
      </c>
      <c r="AT16" s="23">
        <f>4789.96</f>
        <v>4789.96</v>
      </c>
      <c r="AU16" s="22"/>
      <c r="AV16" s="23">
        <f t="shared" si="22"/>
        <v>4789.96</v>
      </c>
      <c r="AW16" s="24" t="str">
        <f t="shared" si="23"/>
        <v/>
      </c>
      <c r="AX16" s="23">
        <f t="shared" si="24"/>
        <v>63227.42</v>
      </c>
      <c r="AY16" s="23">
        <f t="shared" si="24"/>
        <v>0</v>
      </c>
      <c r="AZ16" s="23">
        <f t="shared" si="25"/>
        <v>63227.42</v>
      </c>
      <c r="BA16" s="24" t="str">
        <f t="shared" si="26"/>
        <v/>
      </c>
    </row>
    <row r="17" spans="1:53" x14ac:dyDescent="0.3">
      <c r="A17" s="21" t="s">
        <v>96</v>
      </c>
      <c r="B17" s="25">
        <f>(((((B11)+(B12))+(B13))+(B14))+(B15))+(B16)</f>
        <v>33533.119999999995</v>
      </c>
      <c r="C17" s="25">
        <f>(((((C11)+(C12))+(C13))+(C14))+(C15))+(C16)</f>
        <v>0</v>
      </c>
      <c r="D17" s="25">
        <f t="shared" si="0"/>
        <v>33533.119999999995</v>
      </c>
      <c r="E17" s="26" t="str">
        <f t="shared" si="1"/>
        <v/>
      </c>
      <c r="F17" s="25">
        <f>(((((F11)+(F12))+(F13))+(F14))+(F15))+(F16)</f>
        <v>342538.46</v>
      </c>
      <c r="G17" s="25">
        <f>(((((G11)+(G12))+(G13))+(G14))+(G15))+(G16)</f>
        <v>0</v>
      </c>
      <c r="H17" s="25">
        <f t="shared" si="2"/>
        <v>342538.46</v>
      </c>
      <c r="I17" s="26" t="str">
        <f t="shared" si="3"/>
        <v/>
      </c>
      <c r="J17" s="25">
        <f>(((((J11)+(J12))+(J13))+(J14))+(J15))+(J16)</f>
        <v>66714.040000000008</v>
      </c>
      <c r="K17" s="25">
        <f>(((((K11)+(K12))+(K13))+(K14))+(K15))+(K16)</f>
        <v>0</v>
      </c>
      <c r="L17" s="25">
        <f t="shared" si="4"/>
        <v>66714.040000000008</v>
      </c>
      <c r="M17" s="26" t="str">
        <f t="shared" si="5"/>
        <v/>
      </c>
      <c r="N17" s="25">
        <f>(((((N11)+(N12))+(N13))+(N14))+(N15))+(N16)</f>
        <v>192176.34</v>
      </c>
      <c r="O17" s="25">
        <f>(((((O11)+(O12))+(O13))+(O14))+(O15))+(O16)</f>
        <v>0</v>
      </c>
      <c r="P17" s="25">
        <f t="shared" si="6"/>
        <v>192176.34</v>
      </c>
      <c r="Q17" s="26" t="str">
        <f t="shared" si="7"/>
        <v/>
      </c>
      <c r="R17" s="25">
        <f>(((((R11)+(R12))+(R13))+(R14))+(R15))+(R16)</f>
        <v>52115.7</v>
      </c>
      <c r="S17" s="25">
        <f>(((((S11)+(S12))+(S13))+(S14))+(S15))+(S16)</f>
        <v>0</v>
      </c>
      <c r="T17" s="25">
        <f t="shared" si="8"/>
        <v>52115.7</v>
      </c>
      <c r="U17" s="26" t="str">
        <f t="shared" si="9"/>
        <v/>
      </c>
      <c r="V17" s="25">
        <f>(((((V11)+(V12))+(V13))+(V14))+(V15))+(V16)</f>
        <v>277494.02000000008</v>
      </c>
      <c r="W17" s="25">
        <f>(((((W11)+(W12))+(W13))+(W14))+(W15))+(W16)</f>
        <v>0</v>
      </c>
      <c r="X17" s="25">
        <f t="shared" si="10"/>
        <v>277494.02000000008</v>
      </c>
      <c r="Y17" s="26" t="str">
        <f t="shared" si="11"/>
        <v/>
      </c>
      <c r="Z17" s="25">
        <f>(((((Z11)+(Z12))+(Z13))+(Z14))+(Z15))+(Z16)</f>
        <v>19628.79</v>
      </c>
      <c r="AA17" s="25">
        <f>(((((AA11)+(AA12))+(AA13))+(AA14))+(AA15))+(AA16)</f>
        <v>0</v>
      </c>
      <c r="AB17" s="25">
        <f t="shared" si="12"/>
        <v>19628.79</v>
      </c>
      <c r="AC17" s="26" t="str">
        <f t="shared" si="13"/>
        <v/>
      </c>
      <c r="AD17" s="25">
        <f>(((((AD11)+(AD12))+(AD13))+(AD14))+(AD15))+(AD16)</f>
        <v>15535.85</v>
      </c>
      <c r="AE17" s="25">
        <f>(((((AE11)+(AE12))+(AE13))+(AE14))+(AE15))+(AE16)</f>
        <v>0</v>
      </c>
      <c r="AF17" s="25">
        <f t="shared" si="14"/>
        <v>15535.85</v>
      </c>
      <c r="AG17" s="26" t="str">
        <f t="shared" si="15"/>
        <v/>
      </c>
      <c r="AH17" s="25">
        <f>(((((AH11)+(AH12))+(AH13))+(AH14))+(AH15))+(AH16)</f>
        <v>13998.300000000001</v>
      </c>
      <c r="AI17" s="25">
        <f>(((((AI11)+(AI12))+(AI13))+(AI14))+(AI15))+(AI16)</f>
        <v>0</v>
      </c>
      <c r="AJ17" s="25">
        <f t="shared" si="16"/>
        <v>13998.300000000001</v>
      </c>
      <c r="AK17" s="26" t="str">
        <f t="shared" si="17"/>
        <v/>
      </c>
      <c r="AL17" s="25">
        <f>(((((AL11)+(AL12))+(AL13))+(AL14))+(AL15))+(AL16)</f>
        <v>12949.15</v>
      </c>
      <c r="AM17" s="25">
        <f>(((((AM11)+(AM12))+(AM13))+(AM14))+(AM15))+(AM16)</f>
        <v>0</v>
      </c>
      <c r="AN17" s="25">
        <f t="shared" si="18"/>
        <v>12949.15</v>
      </c>
      <c r="AO17" s="26" t="str">
        <f t="shared" si="19"/>
        <v/>
      </c>
      <c r="AP17" s="25">
        <f>(((((AP11)+(AP12))+(AP13))+(AP14))+(AP15))+(AP16)</f>
        <v>15577.96</v>
      </c>
      <c r="AQ17" s="25">
        <f>(((((AQ11)+(AQ12))+(AQ13))+(AQ14))+(AQ15))+(AQ16)</f>
        <v>0</v>
      </c>
      <c r="AR17" s="25">
        <f t="shared" si="20"/>
        <v>15577.96</v>
      </c>
      <c r="AS17" s="26" t="str">
        <f t="shared" si="21"/>
        <v/>
      </c>
      <c r="AT17" s="25">
        <f>(((((AT11)+(AT12))+(AT13))+(AT14))+(AT15))+(AT16)</f>
        <v>9506.9399999999987</v>
      </c>
      <c r="AU17" s="25">
        <f>(((((AU11)+(AU12))+(AU13))+(AU14))+(AU15))+(AU16)</f>
        <v>0</v>
      </c>
      <c r="AV17" s="25">
        <f t="shared" si="22"/>
        <v>9506.9399999999987</v>
      </c>
      <c r="AW17" s="26" t="str">
        <f t="shared" si="23"/>
        <v/>
      </c>
      <c r="AX17" s="25">
        <f t="shared" si="24"/>
        <v>1051768.67</v>
      </c>
      <c r="AY17" s="25">
        <f t="shared" si="24"/>
        <v>0</v>
      </c>
      <c r="AZ17" s="25">
        <f t="shared" si="25"/>
        <v>1051768.67</v>
      </c>
      <c r="BA17" s="26" t="str">
        <f t="shared" si="26"/>
        <v/>
      </c>
    </row>
    <row r="18" spans="1:53" x14ac:dyDescent="0.3">
      <c r="A18" s="21" t="s">
        <v>97</v>
      </c>
      <c r="B18" s="25">
        <f>(B17)-(0)</f>
        <v>33533.119999999995</v>
      </c>
      <c r="C18" s="25">
        <f>(C17)-(0)</f>
        <v>0</v>
      </c>
      <c r="D18" s="25">
        <f t="shared" si="0"/>
        <v>33533.119999999995</v>
      </c>
      <c r="E18" s="26" t="str">
        <f t="shared" si="1"/>
        <v/>
      </c>
      <c r="F18" s="25">
        <f>(F17)-(0)</f>
        <v>342538.46</v>
      </c>
      <c r="G18" s="25">
        <f>(G17)-(0)</f>
        <v>0</v>
      </c>
      <c r="H18" s="25">
        <f t="shared" si="2"/>
        <v>342538.46</v>
      </c>
      <c r="I18" s="26" t="str">
        <f t="shared" si="3"/>
        <v/>
      </c>
      <c r="J18" s="25">
        <f>(J17)-(0)</f>
        <v>66714.040000000008</v>
      </c>
      <c r="K18" s="25">
        <f>(K17)-(0)</f>
        <v>0</v>
      </c>
      <c r="L18" s="25">
        <f t="shared" si="4"/>
        <v>66714.040000000008</v>
      </c>
      <c r="M18" s="26" t="str">
        <f t="shared" si="5"/>
        <v/>
      </c>
      <c r="N18" s="25">
        <f>(N17)-(0)</f>
        <v>192176.34</v>
      </c>
      <c r="O18" s="25">
        <f>(O17)-(0)</f>
        <v>0</v>
      </c>
      <c r="P18" s="25">
        <f t="shared" si="6"/>
        <v>192176.34</v>
      </c>
      <c r="Q18" s="26" t="str">
        <f t="shared" si="7"/>
        <v/>
      </c>
      <c r="R18" s="25">
        <f>(R17)-(0)</f>
        <v>52115.7</v>
      </c>
      <c r="S18" s="25">
        <f>(S17)-(0)</f>
        <v>0</v>
      </c>
      <c r="T18" s="25">
        <f t="shared" si="8"/>
        <v>52115.7</v>
      </c>
      <c r="U18" s="26" t="str">
        <f t="shared" si="9"/>
        <v/>
      </c>
      <c r="V18" s="25">
        <f>(V17)-(0)</f>
        <v>277494.02000000008</v>
      </c>
      <c r="W18" s="25">
        <f>(W17)-(0)</f>
        <v>0</v>
      </c>
      <c r="X18" s="25">
        <f t="shared" si="10"/>
        <v>277494.02000000008</v>
      </c>
      <c r="Y18" s="26" t="str">
        <f t="shared" si="11"/>
        <v/>
      </c>
      <c r="Z18" s="25">
        <f>(Z17)-(0)</f>
        <v>19628.79</v>
      </c>
      <c r="AA18" s="25">
        <f>(AA17)-(0)</f>
        <v>0</v>
      </c>
      <c r="AB18" s="25">
        <f t="shared" si="12"/>
        <v>19628.79</v>
      </c>
      <c r="AC18" s="26" t="str">
        <f t="shared" si="13"/>
        <v/>
      </c>
      <c r="AD18" s="25">
        <f>(AD17)-(0)</f>
        <v>15535.85</v>
      </c>
      <c r="AE18" s="25">
        <f>(AE17)-(0)</f>
        <v>0</v>
      </c>
      <c r="AF18" s="25">
        <f t="shared" si="14"/>
        <v>15535.85</v>
      </c>
      <c r="AG18" s="26" t="str">
        <f t="shared" si="15"/>
        <v/>
      </c>
      <c r="AH18" s="25">
        <f>(AH17)-(0)</f>
        <v>13998.300000000001</v>
      </c>
      <c r="AI18" s="25">
        <f>(AI17)-(0)</f>
        <v>0</v>
      </c>
      <c r="AJ18" s="25">
        <f t="shared" si="16"/>
        <v>13998.300000000001</v>
      </c>
      <c r="AK18" s="26" t="str">
        <f t="shared" si="17"/>
        <v/>
      </c>
      <c r="AL18" s="25">
        <f>(AL17)-(0)</f>
        <v>12949.15</v>
      </c>
      <c r="AM18" s="25">
        <f>(AM17)-(0)</f>
        <v>0</v>
      </c>
      <c r="AN18" s="25">
        <f t="shared" si="18"/>
        <v>12949.15</v>
      </c>
      <c r="AO18" s="26" t="str">
        <f t="shared" si="19"/>
        <v/>
      </c>
      <c r="AP18" s="25">
        <f>(AP17)-(0)</f>
        <v>15577.96</v>
      </c>
      <c r="AQ18" s="25">
        <f>(AQ17)-(0)</f>
        <v>0</v>
      </c>
      <c r="AR18" s="25">
        <f t="shared" si="20"/>
        <v>15577.96</v>
      </c>
      <c r="AS18" s="26" t="str">
        <f t="shared" si="21"/>
        <v/>
      </c>
      <c r="AT18" s="25">
        <f>(AT17)-(0)</f>
        <v>9506.9399999999987</v>
      </c>
      <c r="AU18" s="25">
        <f>(AU17)-(0)</f>
        <v>0</v>
      </c>
      <c r="AV18" s="25">
        <f t="shared" si="22"/>
        <v>9506.9399999999987</v>
      </c>
      <c r="AW18" s="26" t="str">
        <f t="shared" si="23"/>
        <v/>
      </c>
      <c r="AX18" s="25">
        <f t="shared" si="24"/>
        <v>1051768.67</v>
      </c>
      <c r="AY18" s="25">
        <f t="shared" si="24"/>
        <v>0</v>
      </c>
      <c r="AZ18" s="25">
        <f t="shared" si="25"/>
        <v>1051768.67</v>
      </c>
      <c r="BA18" s="26" t="str">
        <f t="shared" si="26"/>
        <v/>
      </c>
    </row>
    <row r="19" spans="1:53" x14ac:dyDescent="0.3">
      <c r="A19" s="21" t="s">
        <v>98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</row>
    <row r="20" spans="1:53" x14ac:dyDescent="0.3">
      <c r="A20" s="21" t="s">
        <v>99</v>
      </c>
      <c r="B20" s="22"/>
      <c r="C20" s="22"/>
      <c r="D20" s="23">
        <f t="shared" ref="D20:D83" si="27">(B20)-(C20)</f>
        <v>0</v>
      </c>
      <c r="E20" s="24" t="str">
        <f t="shared" ref="E20:E83" si="28">IF(C20=0,"",(B20)/(C20))</f>
        <v/>
      </c>
      <c r="F20" s="22"/>
      <c r="G20" s="22"/>
      <c r="H20" s="23">
        <f t="shared" ref="H20:H83" si="29">(F20)-(G20)</f>
        <v>0</v>
      </c>
      <c r="I20" s="24" t="str">
        <f t="shared" ref="I20:I83" si="30">IF(G20=0,"",(F20)/(G20))</f>
        <v/>
      </c>
      <c r="J20" s="22"/>
      <c r="K20" s="22"/>
      <c r="L20" s="23">
        <f t="shared" ref="L20:L83" si="31">(J20)-(K20)</f>
        <v>0</v>
      </c>
      <c r="M20" s="24" t="str">
        <f t="shared" ref="M20:M83" si="32">IF(K20=0,"",(J20)/(K20))</f>
        <v/>
      </c>
      <c r="N20" s="22"/>
      <c r="O20" s="22"/>
      <c r="P20" s="23">
        <f t="shared" ref="P20:P83" si="33">(N20)-(O20)</f>
        <v>0</v>
      </c>
      <c r="Q20" s="24" t="str">
        <f t="shared" ref="Q20:Q83" si="34">IF(O20=0,"",(N20)/(O20))</f>
        <v/>
      </c>
      <c r="R20" s="22"/>
      <c r="S20" s="22"/>
      <c r="T20" s="23">
        <f t="shared" ref="T20:T83" si="35">(R20)-(S20)</f>
        <v>0</v>
      </c>
      <c r="U20" s="24" t="str">
        <f t="shared" ref="U20:U83" si="36">IF(S20=0,"",(R20)/(S20))</f>
        <v/>
      </c>
      <c r="V20" s="22"/>
      <c r="W20" s="22"/>
      <c r="X20" s="23">
        <f t="shared" ref="X20:X83" si="37">(V20)-(W20)</f>
        <v>0</v>
      </c>
      <c r="Y20" s="24" t="str">
        <f t="shared" ref="Y20:Y83" si="38">IF(W20=0,"",(V20)/(W20))</f>
        <v/>
      </c>
      <c r="Z20" s="22"/>
      <c r="AA20" s="22"/>
      <c r="AB20" s="23">
        <f t="shared" ref="AB20:AB83" si="39">(Z20)-(AA20)</f>
        <v>0</v>
      </c>
      <c r="AC20" s="24" t="str">
        <f t="shared" ref="AC20:AC83" si="40">IF(AA20=0,"",(Z20)/(AA20))</f>
        <v/>
      </c>
      <c r="AD20" s="22"/>
      <c r="AE20" s="22"/>
      <c r="AF20" s="23">
        <f t="shared" ref="AF20:AF83" si="41">(AD20)-(AE20)</f>
        <v>0</v>
      </c>
      <c r="AG20" s="24" t="str">
        <f t="shared" ref="AG20:AG83" si="42">IF(AE20=0,"",(AD20)/(AE20))</f>
        <v/>
      </c>
      <c r="AH20" s="22"/>
      <c r="AI20" s="22"/>
      <c r="AJ20" s="23">
        <f t="shared" ref="AJ20:AJ83" si="43">(AH20)-(AI20)</f>
        <v>0</v>
      </c>
      <c r="AK20" s="24" t="str">
        <f t="shared" ref="AK20:AK83" si="44">IF(AI20=0,"",(AH20)/(AI20))</f>
        <v/>
      </c>
      <c r="AL20" s="22"/>
      <c r="AM20" s="22"/>
      <c r="AN20" s="23">
        <f t="shared" ref="AN20:AN83" si="45">(AL20)-(AM20)</f>
        <v>0</v>
      </c>
      <c r="AO20" s="24" t="str">
        <f t="shared" ref="AO20:AO83" si="46">IF(AM20=0,"",(AL20)/(AM20))</f>
        <v/>
      </c>
      <c r="AP20" s="22"/>
      <c r="AQ20" s="22"/>
      <c r="AR20" s="23">
        <f t="shared" ref="AR20:AR83" si="47">(AP20)-(AQ20)</f>
        <v>0</v>
      </c>
      <c r="AS20" s="24" t="str">
        <f t="shared" ref="AS20:AS83" si="48">IF(AQ20=0,"",(AP20)/(AQ20))</f>
        <v/>
      </c>
      <c r="AT20" s="22"/>
      <c r="AU20" s="22"/>
      <c r="AV20" s="23">
        <f t="shared" ref="AV20:AV83" si="49">(AT20)-(AU20)</f>
        <v>0</v>
      </c>
      <c r="AW20" s="24" t="str">
        <f t="shared" ref="AW20:AW83" si="50">IF(AU20=0,"",(AT20)/(AU20))</f>
        <v/>
      </c>
      <c r="AX20" s="23">
        <f t="shared" ref="AX20:AY51" si="51">(((((((((((B20)+(F20))+(J20))+(N20))+(R20))+(V20))+(Z20))+(AD20))+(AH20))+(AL20))+(AP20))+(AT20)</f>
        <v>0</v>
      </c>
      <c r="AY20" s="23">
        <f t="shared" si="51"/>
        <v>0</v>
      </c>
      <c r="AZ20" s="23">
        <f t="shared" ref="AZ20:AZ83" si="52">(AX20)-(AY20)</f>
        <v>0</v>
      </c>
      <c r="BA20" s="24" t="str">
        <f t="shared" ref="BA20:BA83" si="53">IF(AY20=0,"",(AX20)/(AY20))</f>
        <v/>
      </c>
    </row>
    <row r="21" spans="1:53" x14ac:dyDescent="0.3">
      <c r="A21" s="21" t="s">
        <v>100</v>
      </c>
      <c r="B21" s="23">
        <f>154.5</f>
        <v>154.5</v>
      </c>
      <c r="C21" s="22"/>
      <c r="D21" s="23">
        <f t="shared" si="27"/>
        <v>154.5</v>
      </c>
      <c r="E21" s="24" t="str">
        <f t="shared" si="28"/>
        <v/>
      </c>
      <c r="F21" s="23">
        <f>0</f>
        <v>0</v>
      </c>
      <c r="G21" s="22"/>
      <c r="H21" s="23">
        <f t="shared" si="29"/>
        <v>0</v>
      </c>
      <c r="I21" s="24" t="str">
        <f t="shared" si="30"/>
        <v/>
      </c>
      <c r="J21" s="23">
        <f>0</f>
        <v>0</v>
      </c>
      <c r="K21" s="22"/>
      <c r="L21" s="23">
        <f t="shared" si="31"/>
        <v>0</v>
      </c>
      <c r="M21" s="24" t="str">
        <f t="shared" si="32"/>
        <v/>
      </c>
      <c r="N21" s="23">
        <f>0</f>
        <v>0</v>
      </c>
      <c r="O21" s="22"/>
      <c r="P21" s="23">
        <f t="shared" si="33"/>
        <v>0</v>
      </c>
      <c r="Q21" s="24" t="str">
        <f t="shared" si="34"/>
        <v/>
      </c>
      <c r="R21" s="23">
        <f>0</f>
        <v>0</v>
      </c>
      <c r="S21" s="22"/>
      <c r="T21" s="23">
        <f t="shared" si="35"/>
        <v>0</v>
      </c>
      <c r="U21" s="24" t="str">
        <f t="shared" si="36"/>
        <v/>
      </c>
      <c r="V21" s="23">
        <f>0</f>
        <v>0</v>
      </c>
      <c r="W21" s="22"/>
      <c r="X21" s="23">
        <f t="shared" si="37"/>
        <v>0</v>
      </c>
      <c r="Y21" s="24" t="str">
        <f t="shared" si="38"/>
        <v/>
      </c>
      <c r="Z21" s="23">
        <f>-154.5</f>
        <v>-154.5</v>
      </c>
      <c r="AA21" s="22"/>
      <c r="AB21" s="23">
        <f t="shared" si="39"/>
        <v>-154.5</v>
      </c>
      <c r="AC21" s="24" t="str">
        <f t="shared" si="40"/>
        <v/>
      </c>
      <c r="AD21" s="23">
        <f>154.5</f>
        <v>154.5</v>
      </c>
      <c r="AE21" s="22"/>
      <c r="AF21" s="23">
        <f t="shared" si="41"/>
        <v>154.5</v>
      </c>
      <c r="AG21" s="24" t="str">
        <f t="shared" si="42"/>
        <v/>
      </c>
      <c r="AH21" s="23">
        <f>0</f>
        <v>0</v>
      </c>
      <c r="AI21" s="22"/>
      <c r="AJ21" s="23">
        <f t="shared" si="43"/>
        <v>0</v>
      </c>
      <c r="AK21" s="24" t="str">
        <f t="shared" si="44"/>
        <v/>
      </c>
      <c r="AL21" s="23">
        <f>0</f>
        <v>0</v>
      </c>
      <c r="AM21" s="22"/>
      <c r="AN21" s="23">
        <f t="shared" si="45"/>
        <v>0</v>
      </c>
      <c r="AO21" s="24" t="str">
        <f t="shared" si="46"/>
        <v/>
      </c>
      <c r="AP21" s="23">
        <f>0</f>
        <v>0</v>
      </c>
      <c r="AQ21" s="22"/>
      <c r="AR21" s="23">
        <f t="shared" si="47"/>
        <v>0</v>
      </c>
      <c r="AS21" s="24" t="str">
        <f t="shared" si="48"/>
        <v/>
      </c>
      <c r="AT21" s="23">
        <f>-154.5</f>
        <v>-154.5</v>
      </c>
      <c r="AU21" s="22"/>
      <c r="AV21" s="23">
        <f t="shared" si="49"/>
        <v>-154.5</v>
      </c>
      <c r="AW21" s="24" t="str">
        <f t="shared" si="50"/>
        <v/>
      </c>
      <c r="AX21" s="23">
        <f t="shared" si="51"/>
        <v>0</v>
      </c>
      <c r="AY21" s="23">
        <f t="shared" si="51"/>
        <v>0</v>
      </c>
      <c r="AZ21" s="23">
        <f t="shared" si="52"/>
        <v>0</v>
      </c>
      <c r="BA21" s="24" t="str">
        <f t="shared" si="53"/>
        <v/>
      </c>
    </row>
    <row r="22" spans="1:53" x14ac:dyDescent="0.3">
      <c r="A22" s="21" t="s">
        <v>101</v>
      </c>
      <c r="B22" s="23">
        <f>3584.35</f>
        <v>3584.35</v>
      </c>
      <c r="C22" s="22"/>
      <c r="D22" s="23">
        <f t="shared" si="27"/>
        <v>3584.35</v>
      </c>
      <c r="E22" s="24" t="str">
        <f t="shared" si="28"/>
        <v/>
      </c>
      <c r="F22" s="23">
        <f>3420.92</f>
        <v>3420.92</v>
      </c>
      <c r="G22" s="22"/>
      <c r="H22" s="23">
        <f t="shared" si="29"/>
        <v>3420.92</v>
      </c>
      <c r="I22" s="24" t="str">
        <f t="shared" si="30"/>
        <v/>
      </c>
      <c r="J22" s="23">
        <f>3420.92</f>
        <v>3420.92</v>
      </c>
      <c r="K22" s="22"/>
      <c r="L22" s="23">
        <f t="shared" si="31"/>
        <v>3420.92</v>
      </c>
      <c r="M22" s="24" t="str">
        <f t="shared" si="32"/>
        <v/>
      </c>
      <c r="N22" s="23">
        <f>3420.92</f>
        <v>3420.92</v>
      </c>
      <c r="O22" s="22"/>
      <c r="P22" s="23">
        <f t="shared" si="33"/>
        <v>3420.92</v>
      </c>
      <c r="Q22" s="24" t="str">
        <f t="shared" si="34"/>
        <v/>
      </c>
      <c r="R22" s="23">
        <f>3420.92</f>
        <v>3420.92</v>
      </c>
      <c r="S22" s="22"/>
      <c r="T22" s="23">
        <f t="shared" si="35"/>
        <v>3420.92</v>
      </c>
      <c r="U22" s="24" t="str">
        <f t="shared" si="36"/>
        <v/>
      </c>
      <c r="V22" s="23">
        <f>3420.92</f>
        <v>3420.92</v>
      </c>
      <c r="W22" s="22"/>
      <c r="X22" s="23">
        <f t="shared" si="37"/>
        <v>3420.92</v>
      </c>
      <c r="Y22" s="24" t="str">
        <f t="shared" si="38"/>
        <v/>
      </c>
      <c r="Z22" s="23">
        <f>3431.45</f>
        <v>3431.45</v>
      </c>
      <c r="AA22" s="22"/>
      <c r="AB22" s="23">
        <f t="shared" si="39"/>
        <v>3431.45</v>
      </c>
      <c r="AC22" s="24" t="str">
        <f t="shared" si="40"/>
        <v/>
      </c>
      <c r="AD22" s="23">
        <f>3420.92</f>
        <v>3420.92</v>
      </c>
      <c r="AE22" s="22"/>
      <c r="AF22" s="23">
        <f t="shared" si="41"/>
        <v>3420.92</v>
      </c>
      <c r="AG22" s="24" t="str">
        <f t="shared" si="42"/>
        <v/>
      </c>
      <c r="AH22" s="23">
        <f>3420.92</f>
        <v>3420.92</v>
      </c>
      <c r="AI22" s="22"/>
      <c r="AJ22" s="23">
        <f t="shared" si="43"/>
        <v>3420.92</v>
      </c>
      <c r="AK22" s="24" t="str">
        <f t="shared" si="44"/>
        <v/>
      </c>
      <c r="AL22" s="23">
        <f>6848.54</f>
        <v>6848.54</v>
      </c>
      <c r="AM22" s="22"/>
      <c r="AN22" s="23">
        <f t="shared" si="45"/>
        <v>6848.54</v>
      </c>
      <c r="AO22" s="24" t="str">
        <f t="shared" si="46"/>
        <v/>
      </c>
      <c r="AP22" s="23">
        <f>3406.03</f>
        <v>3406.03</v>
      </c>
      <c r="AQ22" s="22"/>
      <c r="AR22" s="23">
        <f t="shared" si="47"/>
        <v>3406.03</v>
      </c>
      <c r="AS22" s="24" t="str">
        <f t="shared" si="48"/>
        <v/>
      </c>
      <c r="AT22" s="23">
        <f>4010.55</f>
        <v>4010.55</v>
      </c>
      <c r="AU22" s="22"/>
      <c r="AV22" s="23">
        <f t="shared" si="49"/>
        <v>4010.55</v>
      </c>
      <c r="AW22" s="24" t="str">
        <f t="shared" si="50"/>
        <v/>
      </c>
      <c r="AX22" s="23">
        <f t="shared" si="51"/>
        <v>45227.360000000001</v>
      </c>
      <c r="AY22" s="23">
        <f t="shared" si="51"/>
        <v>0</v>
      </c>
      <c r="AZ22" s="23">
        <f t="shared" si="52"/>
        <v>45227.360000000001</v>
      </c>
      <c r="BA22" s="24" t="str">
        <f t="shared" si="53"/>
        <v/>
      </c>
    </row>
    <row r="23" spans="1:53" x14ac:dyDescent="0.3">
      <c r="A23" s="21" t="s">
        <v>102</v>
      </c>
      <c r="B23" s="22"/>
      <c r="C23" s="22"/>
      <c r="D23" s="23">
        <f t="shared" si="27"/>
        <v>0</v>
      </c>
      <c r="E23" s="24" t="str">
        <f t="shared" si="28"/>
        <v/>
      </c>
      <c r="F23" s="22"/>
      <c r="G23" s="22"/>
      <c r="H23" s="23">
        <f t="shared" si="29"/>
        <v>0</v>
      </c>
      <c r="I23" s="24" t="str">
        <f t="shared" si="30"/>
        <v/>
      </c>
      <c r="J23" s="22"/>
      <c r="K23" s="22"/>
      <c r="L23" s="23">
        <f t="shared" si="31"/>
        <v>0</v>
      </c>
      <c r="M23" s="24" t="str">
        <f t="shared" si="32"/>
        <v/>
      </c>
      <c r="N23" s="22"/>
      <c r="O23" s="22"/>
      <c r="P23" s="23">
        <f t="shared" si="33"/>
        <v>0</v>
      </c>
      <c r="Q23" s="24" t="str">
        <f t="shared" si="34"/>
        <v/>
      </c>
      <c r="R23" s="22"/>
      <c r="S23" s="22"/>
      <c r="T23" s="23">
        <f t="shared" si="35"/>
        <v>0</v>
      </c>
      <c r="U23" s="24" t="str">
        <f t="shared" si="36"/>
        <v/>
      </c>
      <c r="V23" s="22"/>
      <c r="W23" s="22"/>
      <c r="X23" s="23">
        <f t="shared" si="37"/>
        <v>0</v>
      </c>
      <c r="Y23" s="24" t="str">
        <f t="shared" si="38"/>
        <v/>
      </c>
      <c r="Z23" s="22"/>
      <c r="AA23" s="22"/>
      <c r="AB23" s="23">
        <f t="shared" si="39"/>
        <v>0</v>
      </c>
      <c r="AC23" s="24" t="str">
        <f t="shared" si="40"/>
        <v/>
      </c>
      <c r="AD23" s="22"/>
      <c r="AE23" s="22"/>
      <c r="AF23" s="23">
        <f t="shared" si="41"/>
        <v>0</v>
      </c>
      <c r="AG23" s="24" t="str">
        <f t="shared" si="42"/>
        <v/>
      </c>
      <c r="AH23" s="22"/>
      <c r="AI23" s="22"/>
      <c r="AJ23" s="23">
        <f t="shared" si="43"/>
        <v>0</v>
      </c>
      <c r="AK23" s="24" t="str">
        <f t="shared" si="44"/>
        <v/>
      </c>
      <c r="AL23" s="22"/>
      <c r="AM23" s="22"/>
      <c r="AN23" s="23">
        <f t="shared" si="45"/>
        <v>0</v>
      </c>
      <c r="AO23" s="24" t="str">
        <f t="shared" si="46"/>
        <v/>
      </c>
      <c r="AP23" s="23">
        <f>10711</f>
        <v>10711</v>
      </c>
      <c r="AQ23" s="22"/>
      <c r="AR23" s="23">
        <f t="shared" si="47"/>
        <v>10711</v>
      </c>
      <c r="AS23" s="24" t="str">
        <f t="shared" si="48"/>
        <v/>
      </c>
      <c r="AT23" s="22"/>
      <c r="AU23" s="22"/>
      <c r="AV23" s="23">
        <f t="shared" si="49"/>
        <v>0</v>
      </c>
      <c r="AW23" s="24" t="str">
        <f t="shared" si="50"/>
        <v/>
      </c>
      <c r="AX23" s="23">
        <f t="shared" si="51"/>
        <v>10711</v>
      </c>
      <c r="AY23" s="23">
        <f t="shared" si="51"/>
        <v>0</v>
      </c>
      <c r="AZ23" s="23">
        <f t="shared" si="52"/>
        <v>10711</v>
      </c>
      <c r="BA23" s="24" t="str">
        <f t="shared" si="53"/>
        <v/>
      </c>
    </row>
    <row r="24" spans="1:53" x14ac:dyDescent="0.3">
      <c r="A24" s="21" t="s">
        <v>103</v>
      </c>
      <c r="B24" s="22"/>
      <c r="C24" s="22"/>
      <c r="D24" s="23">
        <f t="shared" si="27"/>
        <v>0</v>
      </c>
      <c r="E24" s="24" t="str">
        <f t="shared" si="28"/>
        <v/>
      </c>
      <c r="F24" s="22"/>
      <c r="G24" s="22"/>
      <c r="H24" s="23">
        <f t="shared" si="29"/>
        <v>0</v>
      </c>
      <c r="I24" s="24" t="str">
        <f t="shared" si="30"/>
        <v/>
      </c>
      <c r="J24" s="22"/>
      <c r="K24" s="22"/>
      <c r="L24" s="23">
        <f t="shared" si="31"/>
        <v>0</v>
      </c>
      <c r="M24" s="24" t="str">
        <f t="shared" si="32"/>
        <v/>
      </c>
      <c r="N24" s="22"/>
      <c r="O24" s="22"/>
      <c r="P24" s="23">
        <f t="shared" si="33"/>
        <v>0</v>
      </c>
      <c r="Q24" s="24" t="str">
        <f t="shared" si="34"/>
        <v/>
      </c>
      <c r="R24" s="22"/>
      <c r="S24" s="22"/>
      <c r="T24" s="23">
        <f t="shared" si="35"/>
        <v>0</v>
      </c>
      <c r="U24" s="24" t="str">
        <f t="shared" si="36"/>
        <v/>
      </c>
      <c r="V24" s="22"/>
      <c r="W24" s="22"/>
      <c r="X24" s="23">
        <f t="shared" si="37"/>
        <v>0</v>
      </c>
      <c r="Y24" s="24" t="str">
        <f t="shared" si="38"/>
        <v/>
      </c>
      <c r="Z24" s="22"/>
      <c r="AA24" s="22"/>
      <c r="AB24" s="23">
        <f t="shared" si="39"/>
        <v>0</v>
      </c>
      <c r="AC24" s="24" t="str">
        <f t="shared" si="40"/>
        <v/>
      </c>
      <c r="AD24" s="23">
        <f>25</f>
        <v>25</v>
      </c>
      <c r="AE24" s="22"/>
      <c r="AF24" s="23">
        <f t="shared" si="41"/>
        <v>25</v>
      </c>
      <c r="AG24" s="24" t="str">
        <f t="shared" si="42"/>
        <v/>
      </c>
      <c r="AH24" s="22"/>
      <c r="AI24" s="22"/>
      <c r="AJ24" s="23">
        <f t="shared" si="43"/>
        <v>0</v>
      </c>
      <c r="AK24" s="24" t="str">
        <f t="shared" si="44"/>
        <v/>
      </c>
      <c r="AL24" s="23">
        <f>808</f>
        <v>808</v>
      </c>
      <c r="AM24" s="22"/>
      <c r="AN24" s="23">
        <f t="shared" si="45"/>
        <v>808</v>
      </c>
      <c r="AO24" s="24" t="str">
        <f t="shared" si="46"/>
        <v/>
      </c>
      <c r="AP24" s="22"/>
      <c r="AQ24" s="22"/>
      <c r="AR24" s="23">
        <f t="shared" si="47"/>
        <v>0</v>
      </c>
      <c r="AS24" s="24" t="str">
        <f t="shared" si="48"/>
        <v/>
      </c>
      <c r="AT24" s="22"/>
      <c r="AU24" s="22"/>
      <c r="AV24" s="23">
        <f t="shared" si="49"/>
        <v>0</v>
      </c>
      <c r="AW24" s="24" t="str">
        <f t="shared" si="50"/>
        <v/>
      </c>
      <c r="AX24" s="23">
        <f t="shared" si="51"/>
        <v>833</v>
      </c>
      <c r="AY24" s="23">
        <f t="shared" si="51"/>
        <v>0</v>
      </c>
      <c r="AZ24" s="23">
        <f t="shared" si="52"/>
        <v>833</v>
      </c>
      <c r="BA24" s="24" t="str">
        <f t="shared" si="53"/>
        <v/>
      </c>
    </row>
    <row r="25" spans="1:53" x14ac:dyDescent="0.3">
      <c r="A25" s="21" t="s">
        <v>104</v>
      </c>
      <c r="B25" s="25">
        <f>((((B20)+(B21))+(B22))+(B23))+(B24)</f>
        <v>3738.85</v>
      </c>
      <c r="C25" s="25">
        <f>((((C20)+(C21))+(C22))+(C23))+(C24)</f>
        <v>0</v>
      </c>
      <c r="D25" s="25">
        <f t="shared" si="27"/>
        <v>3738.85</v>
      </c>
      <c r="E25" s="26" t="str">
        <f t="shared" si="28"/>
        <v/>
      </c>
      <c r="F25" s="25">
        <f>((((F20)+(F21))+(F22))+(F23))+(F24)</f>
        <v>3420.92</v>
      </c>
      <c r="G25" s="25">
        <f>((((G20)+(G21))+(G22))+(G23))+(G24)</f>
        <v>0</v>
      </c>
      <c r="H25" s="25">
        <f t="shared" si="29"/>
        <v>3420.92</v>
      </c>
      <c r="I25" s="26" t="str">
        <f t="shared" si="30"/>
        <v/>
      </c>
      <c r="J25" s="25">
        <f>((((J20)+(J21))+(J22))+(J23))+(J24)</f>
        <v>3420.92</v>
      </c>
      <c r="K25" s="25">
        <f>((((K20)+(K21))+(K22))+(K23))+(K24)</f>
        <v>0</v>
      </c>
      <c r="L25" s="25">
        <f t="shared" si="31"/>
        <v>3420.92</v>
      </c>
      <c r="M25" s="26" t="str">
        <f t="shared" si="32"/>
        <v/>
      </c>
      <c r="N25" s="25">
        <f>((((N20)+(N21))+(N22))+(N23))+(N24)</f>
        <v>3420.92</v>
      </c>
      <c r="O25" s="25">
        <f>((((O20)+(O21))+(O22))+(O23))+(O24)</f>
        <v>0</v>
      </c>
      <c r="P25" s="25">
        <f t="shared" si="33"/>
        <v>3420.92</v>
      </c>
      <c r="Q25" s="26" t="str">
        <f t="shared" si="34"/>
        <v/>
      </c>
      <c r="R25" s="25">
        <f>((((R20)+(R21))+(R22))+(R23))+(R24)</f>
        <v>3420.92</v>
      </c>
      <c r="S25" s="25">
        <f>((((S20)+(S21))+(S22))+(S23))+(S24)</f>
        <v>0</v>
      </c>
      <c r="T25" s="25">
        <f t="shared" si="35"/>
        <v>3420.92</v>
      </c>
      <c r="U25" s="26" t="str">
        <f t="shared" si="36"/>
        <v/>
      </c>
      <c r="V25" s="25">
        <f>((((V20)+(V21))+(V22))+(V23))+(V24)</f>
        <v>3420.92</v>
      </c>
      <c r="W25" s="25">
        <f>((((W20)+(W21))+(W22))+(W23))+(W24)</f>
        <v>0</v>
      </c>
      <c r="X25" s="25">
        <f t="shared" si="37"/>
        <v>3420.92</v>
      </c>
      <c r="Y25" s="26" t="str">
        <f t="shared" si="38"/>
        <v/>
      </c>
      <c r="Z25" s="25">
        <f>((((Z20)+(Z21))+(Z22))+(Z23))+(Z24)</f>
        <v>3276.95</v>
      </c>
      <c r="AA25" s="25">
        <f>((((AA20)+(AA21))+(AA22))+(AA23))+(AA24)</f>
        <v>0</v>
      </c>
      <c r="AB25" s="25">
        <f t="shared" si="39"/>
        <v>3276.95</v>
      </c>
      <c r="AC25" s="26" t="str">
        <f t="shared" si="40"/>
        <v/>
      </c>
      <c r="AD25" s="25">
        <f>((((AD20)+(AD21))+(AD22))+(AD23))+(AD24)</f>
        <v>3600.42</v>
      </c>
      <c r="AE25" s="25">
        <f>((((AE20)+(AE21))+(AE22))+(AE23))+(AE24)</f>
        <v>0</v>
      </c>
      <c r="AF25" s="25">
        <f t="shared" si="41"/>
        <v>3600.42</v>
      </c>
      <c r="AG25" s="26" t="str">
        <f t="shared" si="42"/>
        <v/>
      </c>
      <c r="AH25" s="25">
        <f>((((AH20)+(AH21))+(AH22))+(AH23))+(AH24)</f>
        <v>3420.92</v>
      </c>
      <c r="AI25" s="25">
        <f>((((AI20)+(AI21))+(AI22))+(AI23))+(AI24)</f>
        <v>0</v>
      </c>
      <c r="AJ25" s="25">
        <f t="shared" si="43"/>
        <v>3420.92</v>
      </c>
      <c r="AK25" s="26" t="str">
        <f t="shared" si="44"/>
        <v/>
      </c>
      <c r="AL25" s="25">
        <f>((((AL20)+(AL21))+(AL22))+(AL23))+(AL24)</f>
        <v>7656.54</v>
      </c>
      <c r="AM25" s="25">
        <f>((((AM20)+(AM21))+(AM22))+(AM23))+(AM24)</f>
        <v>0</v>
      </c>
      <c r="AN25" s="25">
        <f t="shared" si="45"/>
        <v>7656.54</v>
      </c>
      <c r="AO25" s="26" t="str">
        <f t="shared" si="46"/>
        <v/>
      </c>
      <c r="AP25" s="25">
        <f>((((AP20)+(AP21))+(AP22))+(AP23))+(AP24)</f>
        <v>14117.03</v>
      </c>
      <c r="AQ25" s="25">
        <f>((((AQ20)+(AQ21))+(AQ22))+(AQ23))+(AQ24)</f>
        <v>0</v>
      </c>
      <c r="AR25" s="25">
        <f t="shared" si="47"/>
        <v>14117.03</v>
      </c>
      <c r="AS25" s="26" t="str">
        <f t="shared" si="48"/>
        <v/>
      </c>
      <c r="AT25" s="25">
        <f>((((AT20)+(AT21))+(AT22))+(AT23))+(AT24)</f>
        <v>3856.05</v>
      </c>
      <c r="AU25" s="25">
        <f>((((AU20)+(AU21))+(AU22))+(AU23))+(AU24)</f>
        <v>0</v>
      </c>
      <c r="AV25" s="25">
        <f t="shared" si="49"/>
        <v>3856.05</v>
      </c>
      <c r="AW25" s="26" t="str">
        <f t="shared" si="50"/>
        <v/>
      </c>
      <c r="AX25" s="25">
        <f t="shared" si="51"/>
        <v>56771.360000000001</v>
      </c>
      <c r="AY25" s="25">
        <f t="shared" si="51"/>
        <v>0</v>
      </c>
      <c r="AZ25" s="25">
        <f t="shared" si="52"/>
        <v>56771.360000000001</v>
      </c>
      <c r="BA25" s="26" t="str">
        <f t="shared" si="53"/>
        <v/>
      </c>
    </row>
    <row r="26" spans="1:53" x14ac:dyDescent="0.3">
      <c r="A26" s="21" t="s">
        <v>105</v>
      </c>
      <c r="B26" s="23">
        <f>1992.62</f>
        <v>1992.62</v>
      </c>
      <c r="C26" s="22"/>
      <c r="D26" s="23">
        <f t="shared" si="27"/>
        <v>1992.62</v>
      </c>
      <c r="E26" s="24" t="str">
        <f t="shared" si="28"/>
        <v/>
      </c>
      <c r="F26" s="22"/>
      <c r="G26" s="22"/>
      <c r="H26" s="23">
        <f t="shared" si="29"/>
        <v>0</v>
      </c>
      <c r="I26" s="24" t="str">
        <f t="shared" si="30"/>
        <v/>
      </c>
      <c r="J26" s="22"/>
      <c r="K26" s="22"/>
      <c r="L26" s="23">
        <f t="shared" si="31"/>
        <v>0</v>
      </c>
      <c r="M26" s="24" t="str">
        <f t="shared" si="32"/>
        <v/>
      </c>
      <c r="N26" s="22"/>
      <c r="O26" s="22"/>
      <c r="P26" s="23">
        <f t="shared" si="33"/>
        <v>0</v>
      </c>
      <c r="Q26" s="24" t="str">
        <f t="shared" si="34"/>
        <v/>
      </c>
      <c r="R26" s="22"/>
      <c r="S26" s="22"/>
      <c r="T26" s="23">
        <f t="shared" si="35"/>
        <v>0</v>
      </c>
      <c r="U26" s="24" t="str">
        <f t="shared" si="36"/>
        <v/>
      </c>
      <c r="V26" s="23">
        <f>1382.5</f>
        <v>1382.5</v>
      </c>
      <c r="W26" s="22"/>
      <c r="X26" s="23">
        <f t="shared" si="37"/>
        <v>1382.5</v>
      </c>
      <c r="Y26" s="24" t="str">
        <f t="shared" si="38"/>
        <v/>
      </c>
      <c r="Z26" s="23">
        <f>2820.68</f>
        <v>2820.68</v>
      </c>
      <c r="AA26" s="22"/>
      <c r="AB26" s="23">
        <f t="shared" si="39"/>
        <v>2820.68</v>
      </c>
      <c r="AC26" s="24" t="str">
        <f t="shared" si="40"/>
        <v/>
      </c>
      <c r="AD26" s="22"/>
      <c r="AE26" s="22"/>
      <c r="AF26" s="23">
        <f t="shared" si="41"/>
        <v>0</v>
      </c>
      <c r="AG26" s="24" t="str">
        <f t="shared" si="42"/>
        <v/>
      </c>
      <c r="AH26" s="23">
        <f>1460.9</f>
        <v>1460.9</v>
      </c>
      <c r="AI26" s="22"/>
      <c r="AJ26" s="23">
        <f t="shared" si="43"/>
        <v>1460.9</v>
      </c>
      <c r="AK26" s="24" t="str">
        <f t="shared" si="44"/>
        <v/>
      </c>
      <c r="AL26" s="22"/>
      <c r="AM26" s="22"/>
      <c r="AN26" s="23">
        <f t="shared" si="45"/>
        <v>0</v>
      </c>
      <c r="AO26" s="24" t="str">
        <f t="shared" si="46"/>
        <v/>
      </c>
      <c r="AP26" s="23">
        <f>1388.22</f>
        <v>1388.22</v>
      </c>
      <c r="AQ26" s="22"/>
      <c r="AR26" s="23">
        <f t="shared" si="47"/>
        <v>1388.22</v>
      </c>
      <c r="AS26" s="24" t="str">
        <f t="shared" si="48"/>
        <v/>
      </c>
      <c r="AT26" s="23">
        <f>6293.91</f>
        <v>6293.91</v>
      </c>
      <c r="AU26" s="22"/>
      <c r="AV26" s="23">
        <f t="shared" si="49"/>
        <v>6293.91</v>
      </c>
      <c r="AW26" s="24" t="str">
        <f t="shared" si="50"/>
        <v/>
      </c>
      <c r="AX26" s="23">
        <f t="shared" si="51"/>
        <v>15338.829999999998</v>
      </c>
      <c r="AY26" s="23">
        <f t="shared" si="51"/>
        <v>0</v>
      </c>
      <c r="AZ26" s="23">
        <f t="shared" si="52"/>
        <v>15338.829999999998</v>
      </c>
      <c r="BA26" s="24" t="str">
        <f t="shared" si="53"/>
        <v/>
      </c>
    </row>
    <row r="27" spans="1:53" x14ac:dyDescent="0.3">
      <c r="A27" s="21" t="s">
        <v>106</v>
      </c>
      <c r="B27" s="23">
        <f>2462.88</f>
        <v>2462.88</v>
      </c>
      <c r="C27" s="22"/>
      <c r="D27" s="23">
        <f t="shared" si="27"/>
        <v>2462.88</v>
      </c>
      <c r="E27" s="24" t="str">
        <f t="shared" si="28"/>
        <v/>
      </c>
      <c r="F27" s="23">
        <f>2462.09</f>
        <v>2462.09</v>
      </c>
      <c r="G27" s="22"/>
      <c r="H27" s="23">
        <f t="shared" si="29"/>
        <v>2462.09</v>
      </c>
      <c r="I27" s="24" t="str">
        <f t="shared" si="30"/>
        <v/>
      </c>
      <c r="J27" s="23">
        <f>2439.72</f>
        <v>2439.7199999999998</v>
      </c>
      <c r="K27" s="22"/>
      <c r="L27" s="23">
        <f t="shared" si="31"/>
        <v>2439.7199999999998</v>
      </c>
      <c r="M27" s="24" t="str">
        <f t="shared" si="32"/>
        <v/>
      </c>
      <c r="N27" s="23">
        <f>2420.1</f>
        <v>2420.1</v>
      </c>
      <c r="O27" s="22"/>
      <c r="P27" s="23">
        <f t="shared" si="33"/>
        <v>2420.1</v>
      </c>
      <c r="Q27" s="24" t="str">
        <f t="shared" si="34"/>
        <v/>
      </c>
      <c r="R27" s="23">
        <f>2467.26</f>
        <v>2467.2600000000002</v>
      </c>
      <c r="S27" s="22"/>
      <c r="T27" s="23">
        <f t="shared" si="35"/>
        <v>2467.2600000000002</v>
      </c>
      <c r="U27" s="24" t="str">
        <f t="shared" si="36"/>
        <v/>
      </c>
      <c r="V27" s="23">
        <f>2422.94</f>
        <v>2422.94</v>
      </c>
      <c r="W27" s="22"/>
      <c r="X27" s="23">
        <f t="shared" si="37"/>
        <v>2422.94</v>
      </c>
      <c r="Y27" s="24" t="str">
        <f t="shared" si="38"/>
        <v/>
      </c>
      <c r="Z27" s="23">
        <f>3438.83</f>
        <v>3438.83</v>
      </c>
      <c r="AA27" s="22"/>
      <c r="AB27" s="23">
        <f t="shared" si="39"/>
        <v>3438.83</v>
      </c>
      <c r="AC27" s="24" t="str">
        <f t="shared" si="40"/>
        <v/>
      </c>
      <c r="AD27" s="23">
        <f>2391.66</f>
        <v>2391.66</v>
      </c>
      <c r="AE27" s="22"/>
      <c r="AF27" s="23">
        <f t="shared" si="41"/>
        <v>2391.66</v>
      </c>
      <c r="AG27" s="24" t="str">
        <f t="shared" si="42"/>
        <v/>
      </c>
      <c r="AH27" s="23">
        <f>2439.08</f>
        <v>2439.08</v>
      </c>
      <c r="AI27" s="22"/>
      <c r="AJ27" s="23">
        <f t="shared" si="43"/>
        <v>2439.08</v>
      </c>
      <c r="AK27" s="24" t="str">
        <f t="shared" si="44"/>
        <v/>
      </c>
      <c r="AL27" s="23">
        <f>2359.06</f>
        <v>2359.06</v>
      </c>
      <c r="AM27" s="22"/>
      <c r="AN27" s="23">
        <f t="shared" si="45"/>
        <v>2359.06</v>
      </c>
      <c r="AO27" s="24" t="str">
        <f t="shared" si="46"/>
        <v/>
      </c>
      <c r="AP27" s="23">
        <f>2405.78</f>
        <v>2405.7800000000002</v>
      </c>
      <c r="AQ27" s="22"/>
      <c r="AR27" s="23">
        <f t="shared" si="47"/>
        <v>2405.7800000000002</v>
      </c>
      <c r="AS27" s="24" t="str">
        <f t="shared" si="48"/>
        <v/>
      </c>
      <c r="AT27" s="23">
        <f>3623.21</f>
        <v>3623.21</v>
      </c>
      <c r="AU27" s="22"/>
      <c r="AV27" s="23">
        <f t="shared" si="49"/>
        <v>3623.21</v>
      </c>
      <c r="AW27" s="24" t="str">
        <f t="shared" si="50"/>
        <v/>
      </c>
      <c r="AX27" s="23">
        <f t="shared" si="51"/>
        <v>31332.609999999997</v>
      </c>
      <c r="AY27" s="23">
        <f t="shared" si="51"/>
        <v>0</v>
      </c>
      <c r="AZ27" s="23">
        <f t="shared" si="52"/>
        <v>31332.609999999997</v>
      </c>
      <c r="BA27" s="24" t="str">
        <f t="shared" si="53"/>
        <v/>
      </c>
    </row>
    <row r="28" spans="1:53" x14ac:dyDescent="0.3">
      <c r="A28" s="21" t="s">
        <v>107</v>
      </c>
      <c r="B28" s="23">
        <f>27896.89</f>
        <v>27896.89</v>
      </c>
      <c r="C28" s="22"/>
      <c r="D28" s="23">
        <f t="shared" si="27"/>
        <v>27896.89</v>
      </c>
      <c r="E28" s="24" t="str">
        <f t="shared" si="28"/>
        <v/>
      </c>
      <c r="F28" s="23">
        <f>30747.74</f>
        <v>30747.74</v>
      </c>
      <c r="G28" s="22"/>
      <c r="H28" s="23">
        <f t="shared" si="29"/>
        <v>30747.74</v>
      </c>
      <c r="I28" s="24" t="str">
        <f t="shared" si="30"/>
        <v/>
      </c>
      <c r="J28" s="23">
        <f>30813.95</f>
        <v>30813.95</v>
      </c>
      <c r="K28" s="22"/>
      <c r="L28" s="23">
        <f t="shared" si="31"/>
        <v>30813.95</v>
      </c>
      <c r="M28" s="24" t="str">
        <f t="shared" si="32"/>
        <v/>
      </c>
      <c r="N28" s="23">
        <f>30874.03</f>
        <v>30874.03</v>
      </c>
      <c r="O28" s="22"/>
      <c r="P28" s="23">
        <f t="shared" si="33"/>
        <v>30874.03</v>
      </c>
      <c r="Q28" s="24" t="str">
        <f t="shared" si="34"/>
        <v/>
      </c>
      <c r="R28" s="23">
        <f>31921.66</f>
        <v>31921.66</v>
      </c>
      <c r="S28" s="22"/>
      <c r="T28" s="23">
        <f t="shared" si="35"/>
        <v>31921.66</v>
      </c>
      <c r="U28" s="24" t="str">
        <f t="shared" si="36"/>
        <v/>
      </c>
      <c r="V28" s="23">
        <f>30103.81</f>
        <v>30103.81</v>
      </c>
      <c r="W28" s="22"/>
      <c r="X28" s="23">
        <f t="shared" si="37"/>
        <v>30103.81</v>
      </c>
      <c r="Y28" s="24" t="str">
        <f t="shared" si="38"/>
        <v/>
      </c>
      <c r="Z28" s="23">
        <f>42096.54</f>
        <v>42096.54</v>
      </c>
      <c r="AA28" s="22"/>
      <c r="AB28" s="23">
        <f t="shared" si="39"/>
        <v>42096.54</v>
      </c>
      <c r="AC28" s="24" t="str">
        <f t="shared" si="40"/>
        <v/>
      </c>
      <c r="AD28" s="23">
        <f>31208.74</f>
        <v>31208.74</v>
      </c>
      <c r="AE28" s="22"/>
      <c r="AF28" s="23">
        <f t="shared" si="41"/>
        <v>31208.74</v>
      </c>
      <c r="AG28" s="24" t="str">
        <f t="shared" si="42"/>
        <v/>
      </c>
      <c r="AH28" s="23">
        <f>30341.7</f>
        <v>30341.7</v>
      </c>
      <c r="AI28" s="22"/>
      <c r="AJ28" s="23">
        <f t="shared" si="43"/>
        <v>30341.7</v>
      </c>
      <c r="AK28" s="24" t="str">
        <f t="shared" si="44"/>
        <v/>
      </c>
      <c r="AL28" s="23">
        <f>30792.09</f>
        <v>30792.09</v>
      </c>
      <c r="AM28" s="22"/>
      <c r="AN28" s="23">
        <f t="shared" si="45"/>
        <v>30792.09</v>
      </c>
      <c r="AO28" s="24" t="str">
        <f t="shared" si="46"/>
        <v/>
      </c>
      <c r="AP28" s="23">
        <f>29984.16</f>
        <v>29984.16</v>
      </c>
      <c r="AQ28" s="22"/>
      <c r="AR28" s="23">
        <f t="shared" si="47"/>
        <v>29984.16</v>
      </c>
      <c r="AS28" s="24" t="str">
        <f t="shared" si="48"/>
        <v/>
      </c>
      <c r="AT28" s="23">
        <f>41009.37</f>
        <v>41009.370000000003</v>
      </c>
      <c r="AU28" s="22"/>
      <c r="AV28" s="23">
        <f t="shared" si="49"/>
        <v>41009.370000000003</v>
      </c>
      <c r="AW28" s="24" t="str">
        <f t="shared" si="50"/>
        <v/>
      </c>
      <c r="AX28" s="23">
        <f t="shared" si="51"/>
        <v>387790.68</v>
      </c>
      <c r="AY28" s="23">
        <f t="shared" si="51"/>
        <v>0</v>
      </c>
      <c r="AZ28" s="23">
        <f t="shared" si="52"/>
        <v>387790.68</v>
      </c>
      <c r="BA28" s="24" t="str">
        <f t="shared" si="53"/>
        <v/>
      </c>
    </row>
    <row r="29" spans="1:53" x14ac:dyDescent="0.3">
      <c r="A29" s="21" t="s">
        <v>108</v>
      </c>
      <c r="B29" s="25">
        <f>((B26)+(B27))+(B28)</f>
        <v>32352.39</v>
      </c>
      <c r="C29" s="25">
        <f>((C26)+(C27))+(C28)</f>
        <v>0</v>
      </c>
      <c r="D29" s="25">
        <f t="shared" si="27"/>
        <v>32352.39</v>
      </c>
      <c r="E29" s="26" t="str">
        <f t="shared" si="28"/>
        <v/>
      </c>
      <c r="F29" s="25">
        <f>((F26)+(F27))+(F28)</f>
        <v>33209.83</v>
      </c>
      <c r="G29" s="25">
        <f>((G26)+(G27))+(G28)</f>
        <v>0</v>
      </c>
      <c r="H29" s="25">
        <f t="shared" si="29"/>
        <v>33209.83</v>
      </c>
      <c r="I29" s="26" t="str">
        <f t="shared" si="30"/>
        <v/>
      </c>
      <c r="J29" s="25">
        <f>((J26)+(J27))+(J28)</f>
        <v>33253.67</v>
      </c>
      <c r="K29" s="25">
        <f>((K26)+(K27))+(K28)</f>
        <v>0</v>
      </c>
      <c r="L29" s="25">
        <f t="shared" si="31"/>
        <v>33253.67</v>
      </c>
      <c r="M29" s="26" t="str">
        <f t="shared" si="32"/>
        <v/>
      </c>
      <c r="N29" s="25">
        <f>((N26)+(N27))+(N28)</f>
        <v>33294.129999999997</v>
      </c>
      <c r="O29" s="25">
        <f>((O26)+(O27))+(O28)</f>
        <v>0</v>
      </c>
      <c r="P29" s="25">
        <f t="shared" si="33"/>
        <v>33294.129999999997</v>
      </c>
      <c r="Q29" s="26" t="str">
        <f t="shared" si="34"/>
        <v/>
      </c>
      <c r="R29" s="25">
        <f>((R26)+(R27))+(R28)</f>
        <v>34388.92</v>
      </c>
      <c r="S29" s="25">
        <f>((S26)+(S27))+(S28)</f>
        <v>0</v>
      </c>
      <c r="T29" s="25">
        <f t="shared" si="35"/>
        <v>34388.92</v>
      </c>
      <c r="U29" s="26" t="str">
        <f t="shared" si="36"/>
        <v/>
      </c>
      <c r="V29" s="25">
        <f>((V26)+(V27))+(V28)</f>
        <v>33909.25</v>
      </c>
      <c r="W29" s="25">
        <f>((W26)+(W27))+(W28)</f>
        <v>0</v>
      </c>
      <c r="X29" s="25">
        <f t="shared" si="37"/>
        <v>33909.25</v>
      </c>
      <c r="Y29" s="26" t="str">
        <f t="shared" si="38"/>
        <v/>
      </c>
      <c r="Z29" s="25">
        <f>((Z26)+(Z27))+(Z28)</f>
        <v>48356.05</v>
      </c>
      <c r="AA29" s="25">
        <f>((AA26)+(AA27))+(AA28)</f>
        <v>0</v>
      </c>
      <c r="AB29" s="25">
        <f t="shared" si="39"/>
        <v>48356.05</v>
      </c>
      <c r="AC29" s="26" t="str">
        <f t="shared" si="40"/>
        <v/>
      </c>
      <c r="AD29" s="25">
        <f>((AD26)+(AD27))+(AD28)</f>
        <v>33600.400000000001</v>
      </c>
      <c r="AE29" s="25">
        <f>((AE26)+(AE27))+(AE28)</f>
        <v>0</v>
      </c>
      <c r="AF29" s="25">
        <f t="shared" si="41"/>
        <v>33600.400000000001</v>
      </c>
      <c r="AG29" s="26" t="str">
        <f t="shared" si="42"/>
        <v/>
      </c>
      <c r="AH29" s="25">
        <f>((AH26)+(AH27))+(AH28)</f>
        <v>34241.68</v>
      </c>
      <c r="AI29" s="25">
        <f>((AI26)+(AI27))+(AI28)</f>
        <v>0</v>
      </c>
      <c r="AJ29" s="25">
        <f t="shared" si="43"/>
        <v>34241.68</v>
      </c>
      <c r="AK29" s="26" t="str">
        <f t="shared" si="44"/>
        <v/>
      </c>
      <c r="AL29" s="25">
        <f>((AL26)+(AL27))+(AL28)</f>
        <v>33151.15</v>
      </c>
      <c r="AM29" s="25">
        <f>((AM26)+(AM27))+(AM28)</f>
        <v>0</v>
      </c>
      <c r="AN29" s="25">
        <f t="shared" si="45"/>
        <v>33151.15</v>
      </c>
      <c r="AO29" s="26" t="str">
        <f t="shared" si="46"/>
        <v/>
      </c>
      <c r="AP29" s="25">
        <f>((AP26)+(AP27))+(AP28)</f>
        <v>33778.160000000003</v>
      </c>
      <c r="AQ29" s="25">
        <f>((AQ26)+(AQ27))+(AQ28)</f>
        <v>0</v>
      </c>
      <c r="AR29" s="25">
        <f t="shared" si="47"/>
        <v>33778.160000000003</v>
      </c>
      <c r="AS29" s="26" t="str">
        <f t="shared" si="48"/>
        <v/>
      </c>
      <c r="AT29" s="25">
        <f>((AT26)+(AT27))+(AT28)</f>
        <v>50926.490000000005</v>
      </c>
      <c r="AU29" s="25">
        <f>((AU26)+(AU27))+(AU28)</f>
        <v>0</v>
      </c>
      <c r="AV29" s="25">
        <f t="shared" si="49"/>
        <v>50926.490000000005</v>
      </c>
      <c r="AW29" s="26" t="str">
        <f t="shared" si="50"/>
        <v/>
      </c>
      <c r="AX29" s="25">
        <f t="shared" si="51"/>
        <v>434462.12</v>
      </c>
      <c r="AY29" s="25">
        <f t="shared" si="51"/>
        <v>0</v>
      </c>
      <c r="AZ29" s="25">
        <f t="shared" si="52"/>
        <v>434462.12</v>
      </c>
      <c r="BA29" s="26" t="str">
        <f t="shared" si="53"/>
        <v/>
      </c>
    </row>
    <row r="30" spans="1:53" x14ac:dyDescent="0.3">
      <c r="A30" s="21" t="s">
        <v>109</v>
      </c>
      <c r="B30" s="23">
        <f>0.05</f>
        <v>0.05</v>
      </c>
      <c r="C30" s="22"/>
      <c r="D30" s="23">
        <f t="shared" si="27"/>
        <v>0.05</v>
      </c>
      <c r="E30" s="24" t="str">
        <f t="shared" si="28"/>
        <v/>
      </c>
      <c r="F30" s="22"/>
      <c r="G30" s="22"/>
      <c r="H30" s="23">
        <f t="shared" si="29"/>
        <v>0</v>
      </c>
      <c r="I30" s="24" t="str">
        <f t="shared" si="30"/>
        <v/>
      </c>
      <c r="J30" s="22"/>
      <c r="K30" s="22"/>
      <c r="L30" s="23">
        <f t="shared" si="31"/>
        <v>0</v>
      </c>
      <c r="M30" s="24" t="str">
        <f t="shared" si="32"/>
        <v/>
      </c>
      <c r="N30" s="22"/>
      <c r="O30" s="22"/>
      <c r="P30" s="23">
        <f t="shared" si="33"/>
        <v>0</v>
      </c>
      <c r="Q30" s="24" t="str">
        <f t="shared" si="34"/>
        <v/>
      </c>
      <c r="R30" s="22"/>
      <c r="S30" s="22"/>
      <c r="T30" s="23">
        <f t="shared" si="35"/>
        <v>0</v>
      </c>
      <c r="U30" s="24" t="str">
        <f t="shared" si="36"/>
        <v/>
      </c>
      <c r="V30" s="22"/>
      <c r="W30" s="22"/>
      <c r="X30" s="23">
        <f t="shared" si="37"/>
        <v>0</v>
      </c>
      <c r="Y30" s="24" t="str">
        <f t="shared" si="38"/>
        <v/>
      </c>
      <c r="Z30" s="23">
        <f>188.13</f>
        <v>188.13</v>
      </c>
      <c r="AA30" s="22"/>
      <c r="AB30" s="23">
        <f t="shared" si="39"/>
        <v>188.13</v>
      </c>
      <c r="AC30" s="24" t="str">
        <f t="shared" si="40"/>
        <v/>
      </c>
      <c r="AD30" s="22"/>
      <c r="AE30" s="22"/>
      <c r="AF30" s="23">
        <f t="shared" si="41"/>
        <v>0</v>
      </c>
      <c r="AG30" s="24" t="str">
        <f t="shared" si="42"/>
        <v/>
      </c>
      <c r="AH30" s="23">
        <f>19.09</f>
        <v>19.09</v>
      </c>
      <c r="AI30" s="22"/>
      <c r="AJ30" s="23">
        <f t="shared" si="43"/>
        <v>19.09</v>
      </c>
      <c r="AK30" s="24" t="str">
        <f t="shared" si="44"/>
        <v/>
      </c>
      <c r="AL30" s="23">
        <f>37.5</f>
        <v>37.5</v>
      </c>
      <c r="AM30" s="22"/>
      <c r="AN30" s="23">
        <f t="shared" si="45"/>
        <v>37.5</v>
      </c>
      <c r="AO30" s="24" t="str">
        <f t="shared" si="46"/>
        <v/>
      </c>
      <c r="AP30" s="22"/>
      <c r="AQ30" s="22"/>
      <c r="AR30" s="23">
        <f t="shared" si="47"/>
        <v>0</v>
      </c>
      <c r="AS30" s="24" t="str">
        <f t="shared" si="48"/>
        <v/>
      </c>
      <c r="AT30" s="23">
        <f>298.6</f>
        <v>298.60000000000002</v>
      </c>
      <c r="AU30" s="22"/>
      <c r="AV30" s="23">
        <f t="shared" si="49"/>
        <v>298.60000000000002</v>
      </c>
      <c r="AW30" s="24" t="str">
        <f t="shared" si="50"/>
        <v/>
      </c>
      <c r="AX30" s="23">
        <f t="shared" si="51"/>
        <v>543.37</v>
      </c>
      <c r="AY30" s="23">
        <f t="shared" si="51"/>
        <v>0</v>
      </c>
      <c r="AZ30" s="23">
        <f t="shared" si="52"/>
        <v>543.37</v>
      </c>
      <c r="BA30" s="24" t="str">
        <f t="shared" si="53"/>
        <v/>
      </c>
    </row>
    <row r="31" spans="1:53" x14ac:dyDescent="0.3">
      <c r="A31" s="21" t="s">
        <v>110</v>
      </c>
      <c r="B31" s="23">
        <f>248</f>
        <v>248</v>
      </c>
      <c r="C31" s="22"/>
      <c r="D31" s="23">
        <f t="shared" si="27"/>
        <v>248</v>
      </c>
      <c r="E31" s="24" t="str">
        <f t="shared" si="28"/>
        <v/>
      </c>
      <c r="F31" s="23">
        <f>198</f>
        <v>198</v>
      </c>
      <c r="G31" s="22"/>
      <c r="H31" s="23">
        <f t="shared" si="29"/>
        <v>198</v>
      </c>
      <c r="I31" s="24" t="str">
        <f t="shared" si="30"/>
        <v/>
      </c>
      <c r="J31" s="23">
        <f>198</f>
        <v>198</v>
      </c>
      <c r="K31" s="22"/>
      <c r="L31" s="23">
        <f t="shared" si="31"/>
        <v>198</v>
      </c>
      <c r="M31" s="24" t="str">
        <f t="shared" si="32"/>
        <v/>
      </c>
      <c r="N31" s="23">
        <f>198</f>
        <v>198</v>
      </c>
      <c r="O31" s="22"/>
      <c r="P31" s="23">
        <f t="shared" si="33"/>
        <v>198</v>
      </c>
      <c r="Q31" s="24" t="str">
        <f t="shared" si="34"/>
        <v/>
      </c>
      <c r="R31" s="23">
        <f>4173</f>
        <v>4173</v>
      </c>
      <c r="S31" s="22"/>
      <c r="T31" s="23">
        <f t="shared" si="35"/>
        <v>4173</v>
      </c>
      <c r="U31" s="24" t="str">
        <f t="shared" si="36"/>
        <v/>
      </c>
      <c r="V31" s="23">
        <f>3948</f>
        <v>3948</v>
      </c>
      <c r="W31" s="22"/>
      <c r="X31" s="23">
        <f t="shared" si="37"/>
        <v>3948</v>
      </c>
      <c r="Y31" s="24" t="str">
        <f t="shared" si="38"/>
        <v/>
      </c>
      <c r="Z31" s="23">
        <f>198</f>
        <v>198</v>
      </c>
      <c r="AA31" s="22"/>
      <c r="AB31" s="23">
        <f t="shared" si="39"/>
        <v>198</v>
      </c>
      <c r="AC31" s="24" t="str">
        <f t="shared" si="40"/>
        <v/>
      </c>
      <c r="AD31" s="23">
        <f>186</f>
        <v>186</v>
      </c>
      <c r="AE31" s="22"/>
      <c r="AF31" s="23">
        <f t="shared" si="41"/>
        <v>186</v>
      </c>
      <c r="AG31" s="24" t="str">
        <f t="shared" si="42"/>
        <v/>
      </c>
      <c r="AH31" s="23">
        <f>198</f>
        <v>198</v>
      </c>
      <c r="AI31" s="22"/>
      <c r="AJ31" s="23">
        <f t="shared" si="43"/>
        <v>198</v>
      </c>
      <c r="AK31" s="24" t="str">
        <f t="shared" si="44"/>
        <v/>
      </c>
      <c r="AL31" s="23">
        <f>198</f>
        <v>198</v>
      </c>
      <c r="AM31" s="22"/>
      <c r="AN31" s="23">
        <f t="shared" si="45"/>
        <v>198</v>
      </c>
      <c r="AO31" s="24" t="str">
        <f t="shared" si="46"/>
        <v/>
      </c>
      <c r="AP31" s="23">
        <f>273</f>
        <v>273</v>
      </c>
      <c r="AQ31" s="22"/>
      <c r="AR31" s="23">
        <f t="shared" si="47"/>
        <v>273</v>
      </c>
      <c r="AS31" s="24" t="str">
        <f t="shared" si="48"/>
        <v/>
      </c>
      <c r="AT31" s="23">
        <f>198</f>
        <v>198</v>
      </c>
      <c r="AU31" s="22"/>
      <c r="AV31" s="23">
        <f t="shared" si="49"/>
        <v>198</v>
      </c>
      <c r="AW31" s="24" t="str">
        <f t="shared" si="50"/>
        <v/>
      </c>
      <c r="AX31" s="23">
        <f t="shared" si="51"/>
        <v>10214</v>
      </c>
      <c r="AY31" s="23">
        <f t="shared" si="51"/>
        <v>0</v>
      </c>
      <c r="AZ31" s="23">
        <f t="shared" si="52"/>
        <v>10214</v>
      </c>
      <c r="BA31" s="24" t="str">
        <f t="shared" si="53"/>
        <v/>
      </c>
    </row>
    <row r="32" spans="1:53" x14ac:dyDescent="0.3">
      <c r="A32" s="21" t="s">
        <v>111</v>
      </c>
      <c r="B32" s="22"/>
      <c r="C32" s="22"/>
      <c r="D32" s="23">
        <f t="shared" si="27"/>
        <v>0</v>
      </c>
      <c r="E32" s="24" t="str">
        <f t="shared" si="28"/>
        <v/>
      </c>
      <c r="F32" s="22"/>
      <c r="G32" s="22"/>
      <c r="H32" s="23">
        <f t="shared" si="29"/>
        <v>0</v>
      </c>
      <c r="I32" s="24" t="str">
        <f t="shared" si="30"/>
        <v/>
      </c>
      <c r="J32" s="23">
        <f>850</f>
        <v>850</v>
      </c>
      <c r="K32" s="22"/>
      <c r="L32" s="23">
        <f t="shared" si="31"/>
        <v>850</v>
      </c>
      <c r="M32" s="24" t="str">
        <f t="shared" si="32"/>
        <v/>
      </c>
      <c r="N32" s="23">
        <f>248.14</f>
        <v>248.14</v>
      </c>
      <c r="O32" s="22"/>
      <c r="P32" s="23">
        <f t="shared" si="33"/>
        <v>248.14</v>
      </c>
      <c r="Q32" s="24" t="str">
        <f t="shared" si="34"/>
        <v/>
      </c>
      <c r="R32" s="22"/>
      <c r="S32" s="22"/>
      <c r="T32" s="23">
        <f t="shared" si="35"/>
        <v>0</v>
      </c>
      <c r="U32" s="24" t="str">
        <f t="shared" si="36"/>
        <v/>
      </c>
      <c r="V32" s="23">
        <f>327.41</f>
        <v>327.41000000000003</v>
      </c>
      <c r="W32" s="22"/>
      <c r="X32" s="23">
        <f t="shared" si="37"/>
        <v>327.41000000000003</v>
      </c>
      <c r="Y32" s="24" t="str">
        <f t="shared" si="38"/>
        <v/>
      </c>
      <c r="Z32" s="23">
        <f>150</f>
        <v>150</v>
      </c>
      <c r="AA32" s="22"/>
      <c r="AB32" s="23">
        <f t="shared" si="39"/>
        <v>150</v>
      </c>
      <c r="AC32" s="24" t="str">
        <f t="shared" si="40"/>
        <v/>
      </c>
      <c r="AD32" s="22"/>
      <c r="AE32" s="22"/>
      <c r="AF32" s="23">
        <f t="shared" si="41"/>
        <v>0</v>
      </c>
      <c r="AG32" s="24" t="str">
        <f t="shared" si="42"/>
        <v/>
      </c>
      <c r="AH32" s="23">
        <f>949.51</f>
        <v>949.51</v>
      </c>
      <c r="AI32" s="22"/>
      <c r="AJ32" s="23">
        <f t="shared" si="43"/>
        <v>949.51</v>
      </c>
      <c r="AK32" s="24" t="str">
        <f t="shared" si="44"/>
        <v/>
      </c>
      <c r="AL32" s="22"/>
      <c r="AM32" s="22"/>
      <c r="AN32" s="23">
        <f t="shared" si="45"/>
        <v>0</v>
      </c>
      <c r="AO32" s="24" t="str">
        <f t="shared" si="46"/>
        <v/>
      </c>
      <c r="AP32" s="23">
        <f>201.33</f>
        <v>201.33</v>
      </c>
      <c r="AQ32" s="22"/>
      <c r="AR32" s="23">
        <f t="shared" si="47"/>
        <v>201.33</v>
      </c>
      <c r="AS32" s="24" t="str">
        <f t="shared" si="48"/>
        <v/>
      </c>
      <c r="AT32" s="23">
        <f>278.76</f>
        <v>278.76</v>
      </c>
      <c r="AU32" s="22"/>
      <c r="AV32" s="23">
        <f t="shared" si="49"/>
        <v>278.76</v>
      </c>
      <c r="AW32" s="24" t="str">
        <f t="shared" si="50"/>
        <v/>
      </c>
      <c r="AX32" s="23">
        <f t="shared" si="51"/>
        <v>3005.1499999999996</v>
      </c>
      <c r="AY32" s="23">
        <f t="shared" si="51"/>
        <v>0</v>
      </c>
      <c r="AZ32" s="23">
        <f t="shared" si="52"/>
        <v>3005.1499999999996</v>
      </c>
      <c r="BA32" s="24" t="str">
        <f t="shared" si="53"/>
        <v/>
      </c>
    </row>
    <row r="33" spans="1:53" x14ac:dyDescent="0.3">
      <c r="A33" s="21" t="s">
        <v>112</v>
      </c>
      <c r="B33" s="23">
        <f>6</f>
        <v>6</v>
      </c>
      <c r="C33" s="22"/>
      <c r="D33" s="23">
        <f t="shared" si="27"/>
        <v>6</v>
      </c>
      <c r="E33" s="24" t="str">
        <f t="shared" si="28"/>
        <v/>
      </c>
      <c r="F33" s="22"/>
      <c r="G33" s="22"/>
      <c r="H33" s="23">
        <f t="shared" si="29"/>
        <v>0</v>
      </c>
      <c r="I33" s="24" t="str">
        <f t="shared" si="30"/>
        <v/>
      </c>
      <c r="J33" s="22"/>
      <c r="K33" s="22"/>
      <c r="L33" s="23">
        <f t="shared" si="31"/>
        <v>0</v>
      </c>
      <c r="M33" s="24" t="str">
        <f t="shared" si="32"/>
        <v/>
      </c>
      <c r="N33" s="23">
        <f>78</f>
        <v>78</v>
      </c>
      <c r="O33" s="22"/>
      <c r="P33" s="23">
        <f t="shared" si="33"/>
        <v>78</v>
      </c>
      <c r="Q33" s="24" t="str">
        <f t="shared" si="34"/>
        <v/>
      </c>
      <c r="R33" s="22"/>
      <c r="S33" s="22"/>
      <c r="T33" s="23">
        <f t="shared" si="35"/>
        <v>0</v>
      </c>
      <c r="U33" s="24" t="str">
        <f t="shared" si="36"/>
        <v/>
      </c>
      <c r="V33" s="23">
        <f>294</f>
        <v>294</v>
      </c>
      <c r="W33" s="22"/>
      <c r="X33" s="23">
        <f t="shared" si="37"/>
        <v>294</v>
      </c>
      <c r="Y33" s="24" t="str">
        <f t="shared" si="38"/>
        <v/>
      </c>
      <c r="Z33" s="23">
        <f>616</f>
        <v>616</v>
      </c>
      <c r="AA33" s="22"/>
      <c r="AB33" s="23">
        <f t="shared" si="39"/>
        <v>616</v>
      </c>
      <c r="AC33" s="24" t="str">
        <f t="shared" si="40"/>
        <v/>
      </c>
      <c r="AD33" s="22"/>
      <c r="AE33" s="22"/>
      <c r="AF33" s="23">
        <f t="shared" si="41"/>
        <v>0</v>
      </c>
      <c r="AG33" s="24" t="str">
        <f t="shared" si="42"/>
        <v/>
      </c>
      <c r="AH33" s="23">
        <f>115.5</f>
        <v>115.5</v>
      </c>
      <c r="AI33" s="22"/>
      <c r="AJ33" s="23">
        <f t="shared" si="43"/>
        <v>115.5</v>
      </c>
      <c r="AK33" s="24" t="str">
        <f t="shared" si="44"/>
        <v/>
      </c>
      <c r="AL33" s="22"/>
      <c r="AM33" s="22"/>
      <c r="AN33" s="23">
        <f t="shared" si="45"/>
        <v>0</v>
      </c>
      <c r="AO33" s="24" t="str">
        <f t="shared" si="46"/>
        <v/>
      </c>
      <c r="AP33" s="23">
        <f>847</f>
        <v>847</v>
      </c>
      <c r="AQ33" s="22"/>
      <c r="AR33" s="23">
        <f t="shared" si="47"/>
        <v>847</v>
      </c>
      <c r="AS33" s="24" t="str">
        <f t="shared" si="48"/>
        <v/>
      </c>
      <c r="AT33" s="22"/>
      <c r="AU33" s="22"/>
      <c r="AV33" s="23">
        <f t="shared" si="49"/>
        <v>0</v>
      </c>
      <c r="AW33" s="24" t="str">
        <f t="shared" si="50"/>
        <v/>
      </c>
      <c r="AX33" s="23">
        <f t="shared" si="51"/>
        <v>1956.5</v>
      </c>
      <c r="AY33" s="23">
        <f t="shared" si="51"/>
        <v>0</v>
      </c>
      <c r="AZ33" s="23">
        <f t="shared" si="52"/>
        <v>1956.5</v>
      </c>
      <c r="BA33" s="24" t="str">
        <f t="shared" si="53"/>
        <v/>
      </c>
    </row>
    <row r="34" spans="1:53" x14ac:dyDescent="0.3">
      <c r="A34" s="21" t="s">
        <v>113</v>
      </c>
      <c r="B34" s="22"/>
      <c r="C34" s="22"/>
      <c r="D34" s="23">
        <f t="shared" si="27"/>
        <v>0</v>
      </c>
      <c r="E34" s="24" t="str">
        <f t="shared" si="28"/>
        <v/>
      </c>
      <c r="F34" s="22"/>
      <c r="G34" s="22"/>
      <c r="H34" s="23">
        <f t="shared" si="29"/>
        <v>0</v>
      </c>
      <c r="I34" s="24" t="str">
        <f t="shared" si="30"/>
        <v/>
      </c>
      <c r="J34" s="22"/>
      <c r="K34" s="22"/>
      <c r="L34" s="23">
        <f t="shared" si="31"/>
        <v>0</v>
      </c>
      <c r="M34" s="24" t="str">
        <f t="shared" si="32"/>
        <v/>
      </c>
      <c r="N34" s="22"/>
      <c r="O34" s="22"/>
      <c r="P34" s="23">
        <f t="shared" si="33"/>
        <v>0</v>
      </c>
      <c r="Q34" s="24" t="str">
        <f t="shared" si="34"/>
        <v/>
      </c>
      <c r="R34" s="22"/>
      <c r="S34" s="22"/>
      <c r="T34" s="23">
        <f t="shared" si="35"/>
        <v>0</v>
      </c>
      <c r="U34" s="24" t="str">
        <f t="shared" si="36"/>
        <v/>
      </c>
      <c r="V34" s="22"/>
      <c r="W34" s="22"/>
      <c r="X34" s="23">
        <f t="shared" si="37"/>
        <v>0</v>
      </c>
      <c r="Y34" s="24" t="str">
        <f t="shared" si="38"/>
        <v/>
      </c>
      <c r="Z34" s="22"/>
      <c r="AA34" s="22"/>
      <c r="AB34" s="23">
        <f t="shared" si="39"/>
        <v>0</v>
      </c>
      <c r="AC34" s="24" t="str">
        <f t="shared" si="40"/>
        <v/>
      </c>
      <c r="AD34" s="22"/>
      <c r="AE34" s="22"/>
      <c r="AF34" s="23">
        <f t="shared" si="41"/>
        <v>0</v>
      </c>
      <c r="AG34" s="24" t="str">
        <f t="shared" si="42"/>
        <v/>
      </c>
      <c r="AH34" s="22"/>
      <c r="AI34" s="22"/>
      <c r="AJ34" s="23">
        <f t="shared" si="43"/>
        <v>0</v>
      </c>
      <c r="AK34" s="24" t="str">
        <f t="shared" si="44"/>
        <v/>
      </c>
      <c r="AL34" s="22"/>
      <c r="AM34" s="22"/>
      <c r="AN34" s="23">
        <f t="shared" si="45"/>
        <v>0</v>
      </c>
      <c r="AO34" s="24" t="str">
        <f t="shared" si="46"/>
        <v/>
      </c>
      <c r="AP34" s="22"/>
      <c r="AQ34" s="22"/>
      <c r="AR34" s="23">
        <f t="shared" si="47"/>
        <v>0</v>
      </c>
      <c r="AS34" s="24" t="str">
        <f t="shared" si="48"/>
        <v/>
      </c>
      <c r="AT34" s="22"/>
      <c r="AU34" s="22"/>
      <c r="AV34" s="23">
        <f t="shared" si="49"/>
        <v>0</v>
      </c>
      <c r="AW34" s="24" t="str">
        <f t="shared" si="50"/>
        <v/>
      </c>
      <c r="AX34" s="23">
        <f t="shared" si="51"/>
        <v>0</v>
      </c>
      <c r="AY34" s="23">
        <f t="shared" si="51"/>
        <v>0</v>
      </c>
      <c r="AZ34" s="23">
        <f t="shared" si="52"/>
        <v>0</v>
      </c>
      <c r="BA34" s="24" t="str">
        <f t="shared" si="53"/>
        <v/>
      </c>
    </row>
    <row r="35" spans="1:53" x14ac:dyDescent="0.3">
      <c r="A35" s="21" t="s">
        <v>114</v>
      </c>
      <c r="B35" s="22"/>
      <c r="C35" s="22"/>
      <c r="D35" s="23">
        <f t="shared" si="27"/>
        <v>0</v>
      </c>
      <c r="E35" s="24" t="str">
        <f t="shared" si="28"/>
        <v/>
      </c>
      <c r="F35" s="22"/>
      <c r="G35" s="22"/>
      <c r="H35" s="23">
        <f t="shared" si="29"/>
        <v>0</v>
      </c>
      <c r="I35" s="24" t="str">
        <f t="shared" si="30"/>
        <v/>
      </c>
      <c r="J35" s="22"/>
      <c r="K35" s="22"/>
      <c r="L35" s="23">
        <f t="shared" si="31"/>
        <v>0</v>
      </c>
      <c r="M35" s="24" t="str">
        <f t="shared" si="32"/>
        <v/>
      </c>
      <c r="N35" s="22"/>
      <c r="O35" s="22"/>
      <c r="P35" s="23">
        <f t="shared" si="33"/>
        <v>0</v>
      </c>
      <c r="Q35" s="24" t="str">
        <f t="shared" si="34"/>
        <v/>
      </c>
      <c r="R35" s="22"/>
      <c r="S35" s="22"/>
      <c r="T35" s="23">
        <f t="shared" si="35"/>
        <v>0</v>
      </c>
      <c r="U35" s="24" t="str">
        <f t="shared" si="36"/>
        <v/>
      </c>
      <c r="V35" s="22"/>
      <c r="W35" s="22"/>
      <c r="X35" s="23">
        <f t="shared" si="37"/>
        <v>0</v>
      </c>
      <c r="Y35" s="24" t="str">
        <f t="shared" si="38"/>
        <v/>
      </c>
      <c r="Z35" s="22"/>
      <c r="AA35" s="22"/>
      <c r="AB35" s="23">
        <f t="shared" si="39"/>
        <v>0</v>
      </c>
      <c r="AC35" s="24" t="str">
        <f t="shared" si="40"/>
        <v/>
      </c>
      <c r="AD35" s="22"/>
      <c r="AE35" s="22"/>
      <c r="AF35" s="23">
        <f t="shared" si="41"/>
        <v>0</v>
      </c>
      <c r="AG35" s="24" t="str">
        <f t="shared" si="42"/>
        <v/>
      </c>
      <c r="AH35" s="22"/>
      <c r="AI35" s="22"/>
      <c r="AJ35" s="23">
        <f t="shared" si="43"/>
        <v>0</v>
      </c>
      <c r="AK35" s="24" t="str">
        <f t="shared" si="44"/>
        <v/>
      </c>
      <c r="AL35" s="22"/>
      <c r="AM35" s="22"/>
      <c r="AN35" s="23">
        <f t="shared" si="45"/>
        <v>0</v>
      </c>
      <c r="AO35" s="24" t="str">
        <f t="shared" si="46"/>
        <v/>
      </c>
      <c r="AP35" s="22"/>
      <c r="AQ35" s="22"/>
      <c r="AR35" s="23">
        <f t="shared" si="47"/>
        <v>0</v>
      </c>
      <c r="AS35" s="24" t="str">
        <f t="shared" si="48"/>
        <v/>
      </c>
      <c r="AT35" s="22"/>
      <c r="AU35" s="22"/>
      <c r="AV35" s="23">
        <f t="shared" si="49"/>
        <v>0</v>
      </c>
      <c r="AW35" s="24" t="str">
        <f t="shared" si="50"/>
        <v/>
      </c>
      <c r="AX35" s="23">
        <f t="shared" si="51"/>
        <v>0</v>
      </c>
      <c r="AY35" s="23">
        <f t="shared" si="51"/>
        <v>0</v>
      </c>
      <c r="AZ35" s="23">
        <f t="shared" si="52"/>
        <v>0</v>
      </c>
      <c r="BA35" s="24" t="str">
        <f t="shared" si="53"/>
        <v/>
      </c>
    </row>
    <row r="36" spans="1:53" x14ac:dyDescent="0.3">
      <c r="A36" s="21" t="s">
        <v>115</v>
      </c>
      <c r="B36" s="23">
        <f>363.41</f>
        <v>363.41</v>
      </c>
      <c r="C36" s="22"/>
      <c r="D36" s="23">
        <f t="shared" si="27"/>
        <v>363.41</v>
      </c>
      <c r="E36" s="24" t="str">
        <f t="shared" si="28"/>
        <v/>
      </c>
      <c r="F36" s="23">
        <f>530.89</f>
        <v>530.89</v>
      </c>
      <c r="G36" s="22"/>
      <c r="H36" s="23">
        <f t="shared" si="29"/>
        <v>530.89</v>
      </c>
      <c r="I36" s="24" t="str">
        <f t="shared" si="30"/>
        <v/>
      </c>
      <c r="J36" s="23">
        <f>231.95</f>
        <v>231.95</v>
      </c>
      <c r="K36" s="22"/>
      <c r="L36" s="23">
        <f t="shared" si="31"/>
        <v>231.95</v>
      </c>
      <c r="M36" s="24" t="str">
        <f t="shared" si="32"/>
        <v/>
      </c>
      <c r="N36" s="23">
        <f>359.31</f>
        <v>359.31</v>
      </c>
      <c r="O36" s="22"/>
      <c r="P36" s="23">
        <f t="shared" si="33"/>
        <v>359.31</v>
      </c>
      <c r="Q36" s="24" t="str">
        <f t="shared" si="34"/>
        <v/>
      </c>
      <c r="R36" s="23">
        <f>386.17</f>
        <v>386.17</v>
      </c>
      <c r="S36" s="22"/>
      <c r="T36" s="23">
        <f t="shared" si="35"/>
        <v>386.17</v>
      </c>
      <c r="U36" s="24" t="str">
        <f t="shared" si="36"/>
        <v/>
      </c>
      <c r="V36" s="23">
        <f>499.9</f>
        <v>499.9</v>
      </c>
      <c r="W36" s="22"/>
      <c r="X36" s="23">
        <f t="shared" si="37"/>
        <v>499.9</v>
      </c>
      <c r="Y36" s="24" t="str">
        <f t="shared" si="38"/>
        <v/>
      </c>
      <c r="Z36" s="23">
        <f>344.92</f>
        <v>344.92</v>
      </c>
      <c r="AA36" s="22"/>
      <c r="AB36" s="23">
        <f t="shared" si="39"/>
        <v>344.92</v>
      </c>
      <c r="AC36" s="24" t="str">
        <f t="shared" si="40"/>
        <v/>
      </c>
      <c r="AD36" s="23">
        <f>352.92</f>
        <v>352.92</v>
      </c>
      <c r="AE36" s="22"/>
      <c r="AF36" s="23">
        <f t="shared" si="41"/>
        <v>352.92</v>
      </c>
      <c r="AG36" s="24" t="str">
        <f t="shared" si="42"/>
        <v/>
      </c>
      <c r="AH36" s="23">
        <f>399.65</f>
        <v>399.65</v>
      </c>
      <c r="AI36" s="22"/>
      <c r="AJ36" s="23">
        <f t="shared" si="43"/>
        <v>399.65</v>
      </c>
      <c r="AK36" s="24" t="str">
        <f t="shared" si="44"/>
        <v/>
      </c>
      <c r="AL36" s="23">
        <f>316.93</f>
        <v>316.93</v>
      </c>
      <c r="AM36" s="22"/>
      <c r="AN36" s="23">
        <f t="shared" si="45"/>
        <v>316.93</v>
      </c>
      <c r="AO36" s="24" t="str">
        <f t="shared" si="46"/>
        <v/>
      </c>
      <c r="AP36" s="23">
        <f>498.89</f>
        <v>498.89</v>
      </c>
      <c r="AQ36" s="22"/>
      <c r="AR36" s="23">
        <f t="shared" si="47"/>
        <v>498.89</v>
      </c>
      <c r="AS36" s="24" t="str">
        <f t="shared" si="48"/>
        <v/>
      </c>
      <c r="AT36" s="23">
        <f>358.92</f>
        <v>358.92</v>
      </c>
      <c r="AU36" s="22"/>
      <c r="AV36" s="23">
        <f t="shared" si="49"/>
        <v>358.92</v>
      </c>
      <c r="AW36" s="24" t="str">
        <f t="shared" si="50"/>
        <v/>
      </c>
      <c r="AX36" s="23">
        <f t="shared" si="51"/>
        <v>4643.8600000000006</v>
      </c>
      <c r="AY36" s="23">
        <f t="shared" si="51"/>
        <v>0</v>
      </c>
      <c r="AZ36" s="23">
        <f t="shared" si="52"/>
        <v>4643.8600000000006</v>
      </c>
      <c r="BA36" s="24" t="str">
        <f t="shared" si="53"/>
        <v/>
      </c>
    </row>
    <row r="37" spans="1:53" x14ac:dyDescent="0.3">
      <c r="A37" s="21" t="s">
        <v>116</v>
      </c>
      <c r="B37" s="23">
        <f>216.95</f>
        <v>216.95</v>
      </c>
      <c r="C37" s="22"/>
      <c r="D37" s="23">
        <f t="shared" si="27"/>
        <v>216.95</v>
      </c>
      <c r="E37" s="24" t="str">
        <f t="shared" si="28"/>
        <v/>
      </c>
      <c r="F37" s="22"/>
      <c r="G37" s="22"/>
      <c r="H37" s="23">
        <f t="shared" si="29"/>
        <v>0</v>
      </c>
      <c r="I37" s="24" t="str">
        <f t="shared" si="30"/>
        <v/>
      </c>
      <c r="J37" s="22"/>
      <c r="K37" s="22"/>
      <c r="L37" s="23">
        <f t="shared" si="31"/>
        <v>0</v>
      </c>
      <c r="M37" s="24" t="str">
        <f t="shared" si="32"/>
        <v/>
      </c>
      <c r="N37" s="22"/>
      <c r="O37" s="22"/>
      <c r="P37" s="23">
        <f t="shared" si="33"/>
        <v>0</v>
      </c>
      <c r="Q37" s="24" t="str">
        <f t="shared" si="34"/>
        <v/>
      </c>
      <c r="R37" s="22"/>
      <c r="S37" s="22"/>
      <c r="T37" s="23">
        <f t="shared" si="35"/>
        <v>0</v>
      </c>
      <c r="U37" s="24" t="str">
        <f t="shared" si="36"/>
        <v/>
      </c>
      <c r="V37" s="22"/>
      <c r="W37" s="22"/>
      <c r="X37" s="23">
        <f t="shared" si="37"/>
        <v>0</v>
      </c>
      <c r="Y37" s="24" t="str">
        <f t="shared" si="38"/>
        <v/>
      </c>
      <c r="Z37" s="22"/>
      <c r="AA37" s="22"/>
      <c r="AB37" s="23">
        <f t="shared" si="39"/>
        <v>0</v>
      </c>
      <c r="AC37" s="24" t="str">
        <f t="shared" si="40"/>
        <v/>
      </c>
      <c r="AD37" s="23">
        <f>137.58</f>
        <v>137.58000000000001</v>
      </c>
      <c r="AE37" s="22"/>
      <c r="AF37" s="23">
        <f t="shared" si="41"/>
        <v>137.58000000000001</v>
      </c>
      <c r="AG37" s="24" t="str">
        <f t="shared" si="42"/>
        <v/>
      </c>
      <c r="AH37" s="23">
        <f>467.13</f>
        <v>467.13</v>
      </c>
      <c r="AI37" s="22"/>
      <c r="AJ37" s="23">
        <f t="shared" si="43"/>
        <v>467.13</v>
      </c>
      <c r="AK37" s="24" t="str">
        <f t="shared" si="44"/>
        <v/>
      </c>
      <c r="AL37" s="22"/>
      <c r="AM37" s="22"/>
      <c r="AN37" s="23">
        <f t="shared" si="45"/>
        <v>0</v>
      </c>
      <c r="AO37" s="24" t="str">
        <f t="shared" si="46"/>
        <v/>
      </c>
      <c r="AP37" s="23">
        <f>274.34</f>
        <v>274.33999999999997</v>
      </c>
      <c r="AQ37" s="22"/>
      <c r="AR37" s="23">
        <f t="shared" si="47"/>
        <v>274.33999999999997</v>
      </c>
      <c r="AS37" s="24" t="str">
        <f t="shared" si="48"/>
        <v/>
      </c>
      <c r="AT37" s="23">
        <f>14.99</f>
        <v>14.99</v>
      </c>
      <c r="AU37" s="22"/>
      <c r="AV37" s="23">
        <f t="shared" si="49"/>
        <v>14.99</v>
      </c>
      <c r="AW37" s="24" t="str">
        <f t="shared" si="50"/>
        <v/>
      </c>
      <c r="AX37" s="23">
        <f t="shared" si="51"/>
        <v>1110.99</v>
      </c>
      <c r="AY37" s="23">
        <f t="shared" si="51"/>
        <v>0</v>
      </c>
      <c r="AZ37" s="23">
        <f t="shared" si="52"/>
        <v>1110.99</v>
      </c>
      <c r="BA37" s="24" t="str">
        <f t="shared" si="53"/>
        <v/>
      </c>
    </row>
    <row r="38" spans="1:53" x14ac:dyDescent="0.3">
      <c r="A38" s="21" t="s">
        <v>117</v>
      </c>
      <c r="B38" s="23">
        <f>293.93</f>
        <v>293.93</v>
      </c>
      <c r="C38" s="22"/>
      <c r="D38" s="23">
        <f t="shared" si="27"/>
        <v>293.93</v>
      </c>
      <c r="E38" s="24" t="str">
        <f t="shared" si="28"/>
        <v/>
      </c>
      <c r="F38" s="23">
        <f>314.88</f>
        <v>314.88</v>
      </c>
      <c r="G38" s="22"/>
      <c r="H38" s="23">
        <f t="shared" si="29"/>
        <v>314.88</v>
      </c>
      <c r="I38" s="24" t="str">
        <f t="shared" si="30"/>
        <v/>
      </c>
      <c r="J38" s="23">
        <f>215.16</f>
        <v>215.16</v>
      </c>
      <c r="K38" s="22"/>
      <c r="L38" s="23">
        <f t="shared" si="31"/>
        <v>215.16</v>
      </c>
      <c r="M38" s="24" t="str">
        <f t="shared" si="32"/>
        <v/>
      </c>
      <c r="N38" s="23">
        <f>290.13</f>
        <v>290.13</v>
      </c>
      <c r="O38" s="22"/>
      <c r="P38" s="23">
        <f t="shared" si="33"/>
        <v>290.13</v>
      </c>
      <c r="Q38" s="24" t="str">
        <f t="shared" si="34"/>
        <v/>
      </c>
      <c r="R38" s="23">
        <f>405.59</f>
        <v>405.59</v>
      </c>
      <c r="S38" s="22"/>
      <c r="T38" s="23">
        <f t="shared" si="35"/>
        <v>405.59</v>
      </c>
      <c r="U38" s="24" t="str">
        <f t="shared" si="36"/>
        <v/>
      </c>
      <c r="V38" s="23">
        <f>214.4</f>
        <v>214.4</v>
      </c>
      <c r="W38" s="22"/>
      <c r="X38" s="23">
        <f t="shared" si="37"/>
        <v>214.4</v>
      </c>
      <c r="Y38" s="24" t="str">
        <f t="shared" si="38"/>
        <v/>
      </c>
      <c r="Z38" s="23">
        <f>242.89</f>
        <v>242.89</v>
      </c>
      <c r="AA38" s="22"/>
      <c r="AB38" s="23">
        <f t="shared" si="39"/>
        <v>242.89</v>
      </c>
      <c r="AC38" s="24" t="str">
        <f t="shared" si="40"/>
        <v/>
      </c>
      <c r="AD38" s="23">
        <f>329.86</f>
        <v>329.86</v>
      </c>
      <c r="AE38" s="22"/>
      <c r="AF38" s="23">
        <f t="shared" si="41"/>
        <v>329.86</v>
      </c>
      <c r="AG38" s="24" t="str">
        <f t="shared" si="42"/>
        <v/>
      </c>
      <c r="AH38" s="23">
        <f>595.82</f>
        <v>595.82000000000005</v>
      </c>
      <c r="AI38" s="22"/>
      <c r="AJ38" s="23">
        <f t="shared" si="43"/>
        <v>595.82000000000005</v>
      </c>
      <c r="AK38" s="24" t="str">
        <f t="shared" si="44"/>
        <v/>
      </c>
      <c r="AL38" s="23">
        <f>222.66</f>
        <v>222.66</v>
      </c>
      <c r="AM38" s="22"/>
      <c r="AN38" s="23">
        <f t="shared" si="45"/>
        <v>222.66</v>
      </c>
      <c r="AO38" s="24" t="str">
        <f t="shared" si="46"/>
        <v/>
      </c>
      <c r="AP38" s="23">
        <f>347.11</f>
        <v>347.11</v>
      </c>
      <c r="AQ38" s="22"/>
      <c r="AR38" s="23">
        <f t="shared" si="47"/>
        <v>347.11</v>
      </c>
      <c r="AS38" s="24" t="str">
        <f t="shared" si="48"/>
        <v/>
      </c>
      <c r="AT38" s="23">
        <f>305.87</f>
        <v>305.87</v>
      </c>
      <c r="AU38" s="22"/>
      <c r="AV38" s="23">
        <f t="shared" si="49"/>
        <v>305.87</v>
      </c>
      <c r="AW38" s="24" t="str">
        <f t="shared" si="50"/>
        <v/>
      </c>
      <c r="AX38" s="23">
        <f t="shared" si="51"/>
        <v>3778.3</v>
      </c>
      <c r="AY38" s="23">
        <f t="shared" si="51"/>
        <v>0</v>
      </c>
      <c r="AZ38" s="23">
        <f t="shared" si="52"/>
        <v>3778.3</v>
      </c>
      <c r="BA38" s="24" t="str">
        <f t="shared" si="53"/>
        <v/>
      </c>
    </row>
    <row r="39" spans="1:53" x14ac:dyDescent="0.3">
      <c r="A39" s="21" t="s">
        <v>118</v>
      </c>
      <c r="B39" s="23">
        <f>139.43</f>
        <v>139.43</v>
      </c>
      <c r="C39" s="22"/>
      <c r="D39" s="23">
        <f t="shared" si="27"/>
        <v>139.43</v>
      </c>
      <c r="E39" s="24" t="str">
        <f t="shared" si="28"/>
        <v/>
      </c>
      <c r="F39" s="22"/>
      <c r="G39" s="22"/>
      <c r="H39" s="23">
        <f t="shared" si="29"/>
        <v>0</v>
      </c>
      <c r="I39" s="24" t="str">
        <f t="shared" si="30"/>
        <v/>
      </c>
      <c r="J39" s="22"/>
      <c r="K39" s="22"/>
      <c r="L39" s="23">
        <f t="shared" si="31"/>
        <v>0</v>
      </c>
      <c r="M39" s="24" t="str">
        <f t="shared" si="32"/>
        <v/>
      </c>
      <c r="N39" s="23">
        <f>675.69</f>
        <v>675.69</v>
      </c>
      <c r="O39" s="22"/>
      <c r="P39" s="23">
        <f t="shared" si="33"/>
        <v>675.69</v>
      </c>
      <c r="Q39" s="24" t="str">
        <f t="shared" si="34"/>
        <v/>
      </c>
      <c r="R39" s="23">
        <f>5.24</f>
        <v>5.24</v>
      </c>
      <c r="S39" s="22"/>
      <c r="T39" s="23">
        <f t="shared" si="35"/>
        <v>5.24</v>
      </c>
      <c r="U39" s="24" t="str">
        <f t="shared" si="36"/>
        <v/>
      </c>
      <c r="V39" s="22"/>
      <c r="W39" s="22"/>
      <c r="X39" s="23">
        <f t="shared" si="37"/>
        <v>0</v>
      </c>
      <c r="Y39" s="24" t="str">
        <f t="shared" si="38"/>
        <v/>
      </c>
      <c r="Z39" s="22"/>
      <c r="AA39" s="22"/>
      <c r="AB39" s="23">
        <f t="shared" si="39"/>
        <v>0</v>
      </c>
      <c r="AC39" s="24" t="str">
        <f t="shared" si="40"/>
        <v/>
      </c>
      <c r="AD39" s="23">
        <f>107.96</f>
        <v>107.96</v>
      </c>
      <c r="AE39" s="22"/>
      <c r="AF39" s="23">
        <f t="shared" si="41"/>
        <v>107.96</v>
      </c>
      <c r="AG39" s="24" t="str">
        <f t="shared" si="42"/>
        <v/>
      </c>
      <c r="AH39" s="23">
        <f>336.62</f>
        <v>336.62</v>
      </c>
      <c r="AI39" s="22"/>
      <c r="AJ39" s="23">
        <f t="shared" si="43"/>
        <v>336.62</v>
      </c>
      <c r="AK39" s="24" t="str">
        <f t="shared" si="44"/>
        <v/>
      </c>
      <c r="AL39" s="23">
        <f>121.42</f>
        <v>121.42</v>
      </c>
      <c r="AM39" s="22"/>
      <c r="AN39" s="23">
        <f t="shared" si="45"/>
        <v>121.42</v>
      </c>
      <c r="AO39" s="24" t="str">
        <f t="shared" si="46"/>
        <v/>
      </c>
      <c r="AP39" s="23">
        <f>41.98</f>
        <v>41.98</v>
      </c>
      <c r="AQ39" s="22"/>
      <c r="AR39" s="23">
        <f t="shared" si="47"/>
        <v>41.98</v>
      </c>
      <c r="AS39" s="24" t="str">
        <f t="shared" si="48"/>
        <v/>
      </c>
      <c r="AT39" s="23">
        <f>128.93</f>
        <v>128.93</v>
      </c>
      <c r="AU39" s="22"/>
      <c r="AV39" s="23">
        <f t="shared" si="49"/>
        <v>128.93</v>
      </c>
      <c r="AW39" s="24" t="str">
        <f t="shared" si="50"/>
        <v/>
      </c>
      <c r="AX39" s="23">
        <f t="shared" si="51"/>
        <v>1557.2700000000002</v>
      </c>
      <c r="AY39" s="23">
        <f t="shared" si="51"/>
        <v>0</v>
      </c>
      <c r="AZ39" s="23">
        <f t="shared" si="52"/>
        <v>1557.2700000000002</v>
      </c>
      <c r="BA39" s="24" t="str">
        <f t="shared" si="53"/>
        <v/>
      </c>
    </row>
    <row r="40" spans="1:53" x14ac:dyDescent="0.3">
      <c r="A40" s="21" t="s">
        <v>119</v>
      </c>
      <c r="B40" s="25">
        <f>((((B35)+(B36))+(B37))+(B38))+(B39)</f>
        <v>1013.72</v>
      </c>
      <c r="C40" s="25">
        <f>((((C35)+(C36))+(C37))+(C38))+(C39)</f>
        <v>0</v>
      </c>
      <c r="D40" s="25">
        <f t="shared" si="27"/>
        <v>1013.72</v>
      </c>
      <c r="E40" s="26" t="str">
        <f t="shared" si="28"/>
        <v/>
      </c>
      <c r="F40" s="25">
        <f>((((F35)+(F36))+(F37))+(F38))+(F39)</f>
        <v>845.77</v>
      </c>
      <c r="G40" s="25">
        <f>((((G35)+(G36))+(G37))+(G38))+(G39)</f>
        <v>0</v>
      </c>
      <c r="H40" s="25">
        <f t="shared" si="29"/>
        <v>845.77</v>
      </c>
      <c r="I40" s="26" t="str">
        <f t="shared" si="30"/>
        <v/>
      </c>
      <c r="J40" s="25">
        <f>((((J35)+(J36))+(J37))+(J38))+(J39)</f>
        <v>447.11</v>
      </c>
      <c r="K40" s="25">
        <f>((((K35)+(K36))+(K37))+(K38))+(K39)</f>
        <v>0</v>
      </c>
      <c r="L40" s="25">
        <f t="shared" si="31"/>
        <v>447.11</v>
      </c>
      <c r="M40" s="26" t="str">
        <f t="shared" si="32"/>
        <v/>
      </c>
      <c r="N40" s="25">
        <f>((((N35)+(N36))+(N37))+(N38))+(N39)</f>
        <v>1325.13</v>
      </c>
      <c r="O40" s="25">
        <f>((((O35)+(O36))+(O37))+(O38))+(O39)</f>
        <v>0</v>
      </c>
      <c r="P40" s="25">
        <f t="shared" si="33"/>
        <v>1325.13</v>
      </c>
      <c r="Q40" s="26" t="str">
        <f t="shared" si="34"/>
        <v/>
      </c>
      <c r="R40" s="25">
        <f>((((R35)+(R36))+(R37))+(R38))+(R39)</f>
        <v>797</v>
      </c>
      <c r="S40" s="25">
        <f>((((S35)+(S36))+(S37))+(S38))+(S39)</f>
        <v>0</v>
      </c>
      <c r="T40" s="25">
        <f t="shared" si="35"/>
        <v>797</v>
      </c>
      <c r="U40" s="26" t="str">
        <f t="shared" si="36"/>
        <v/>
      </c>
      <c r="V40" s="25">
        <f>((((V35)+(V36))+(V37))+(V38))+(V39)</f>
        <v>714.3</v>
      </c>
      <c r="W40" s="25">
        <f>((((W35)+(W36))+(W37))+(W38))+(W39)</f>
        <v>0</v>
      </c>
      <c r="X40" s="25">
        <f t="shared" si="37"/>
        <v>714.3</v>
      </c>
      <c r="Y40" s="26" t="str">
        <f t="shared" si="38"/>
        <v/>
      </c>
      <c r="Z40" s="25">
        <f>((((Z35)+(Z36))+(Z37))+(Z38))+(Z39)</f>
        <v>587.80999999999995</v>
      </c>
      <c r="AA40" s="25">
        <f>((((AA35)+(AA36))+(AA37))+(AA38))+(AA39)</f>
        <v>0</v>
      </c>
      <c r="AB40" s="25">
        <f t="shared" si="39"/>
        <v>587.80999999999995</v>
      </c>
      <c r="AC40" s="26" t="str">
        <f t="shared" si="40"/>
        <v/>
      </c>
      <c r="AD40" s="25">
        <f>((((AD35)+(AD36))+(AD37))+(AD38))+(AD39)</f>
        <v>928.32</v>
      </c>
      <c r="AE40" s="25">
        <f>((((AE35)+(AE36))+(AE37))+(AE38))+(AE39)</f>
        <v>0</v>
      </c>
      <c r="AF40" s="25">
        <f t="shared" si="41"/>
        <v>928.32</v>
      </c>
      <c r="AG40" s="26" t="str">
        <f t="shared" si="42"/>
        <v/>
      </c>
      <c r="AH40" s="25">
        <f>((((AH35)+(AH36))+(AH37))+(AH38))+(AH39)</f>
        <v>1799.2199999999998</v>
      </c>
      <c r="AI40" s="25">
        <f>((((AI35)+(AI36))+(AI37))+(AI38))+(AI39)</f>
        <v>0</v>
      </c>
      <c r="AJ40" s="25">
        <f t="shared" si="43"/>
        <v>1799.2199999999998</v>
      </c>
      <c r="AK40" s="26" t="str">
        <f t="shared" si="44"/>
        <v/>
      </c>
      <c r="AL40" s="25">
        <f>((((AL35)+(AL36))+(AL37))+(AL38))+(AL39)</f>
        <v>661.01</v>
      </c>
      <c r="AM40" s="25">
        <f>((((AM35)+(AM36))+(AM37))+(AM38))+(AM39)</f>
        <v>0</v>
      </c>
      <c r="AN40" s="25">
        <f t="shared" si="45"/>
        <v>661.01</v>
      </c>
      <c r="AO40" s="26" t="str">
        <f t="shared" si="46"/>
        <v/>
      </c>
      <c r="AP40" s="25">
        <f>((((AP35)+(AP36))+(AP37))+(AP38))+(AP39)</f>
        <v>1162.3200000000002</v>
      </c>
      <c r="AQ40" s="25">
        <f>((((AQ35)+(AQ36))+(AQ37))+(AQ38))+(AQ39)</f>
        <v>0</v>
      </c>
      <c r="AR40" s="25">
        <f t="shared" si="47"/>
        <v>1162.3200000000002</v>
      </c>
      <c r="AS40" s="26" t="str">
        <f t="shared" si="48"/>
        <v/>
      </c>
      <c r="AT40" s="25">
        <f>((((AT35)+(AT36))+(AT37))+(AT38))+(AT39)</f>
        <v>808.71</v>
      </c>
      <c r="AU40" s="25">
        <f>((((AU35)+(AU36))+(AU37))+(AU38))+(AU39)</f>
        <v>0</v>
      </c>
      <c r="AV40" s="25">
        <f t="shared" si="49"/>
        <v>808.71</v>
      </c>
      <c r="AW40" s="26" t="str">
        <f t="shared" si="50"/>
        <v/>
      </c>
      <c r="AX40" s="25">
        <f t="shared" si="51"/>
        <v>11090.419999999998</v>
      </c>
      <c r="AY40" s="25">
        <f t="shared" si="51"/>
        <v>0</v>
      </c>
      <c r="AZ40" s="25">
        <f t="shared" si="52"/>
        <v>11090.419999999998</v>
      </c>
      <c r="BA40" s="26" t="str">
        <f t="shared" si="53"/>
        <v/>
      </c>
    </row>
    <row r="41" spans="1:53" x14ac:dyDescent="0.3">
      <c r="A41" s="21" t="s">
        <v>120</v>
      </c>
      <c r="B41" s="22"/>
      <c r="C41" s="22"/>
      <c r="D41" s="23">
        <f t="shared" si="27"/>
        <v>0</v>
      </c>
      <c r="E41" s="24" t="str">
        <f t="shared" si="28"/>
        <v/>
      </c>
      <c r="F41" s="22"/>
      <c r="G41" s="22"/>
      <c r="H41" s="23">
        <f t="shared" si="29"/>
        <v>0</v>
      </c>
      <c r="I41" s="24" t="str">
        <f t="shared" si="30"/>
        <v/>
      </c>
      <c r="J41" s="22"/>
      <c r="K41" s="22"/>
      <c r="L41" s="23">
        <f t="shared" si="31"/>
        <v>0</v>
      </c>
      <c r="M41" s="24" t="str">
        <f t="shared" si="32"/>
        <v/>
      </c>
      <c r="N41" s="22"/>
      <c r="O41" s="22"/>
      <c r="P41" s="23">
        <f t="shared" si="33"/>
        <v>0</v>
      </c>
      <c r="Q41" s="24" t="str">
        <f t="shared" si="34"/>
        <v/>
      </c>
      <c r="R41" s="22"/>
      <c r="S41" s="22"/>
      <c r="T41" s="23">
        <f t="shared" si="35"/>
        <v>0</v>
      </c>
      <c r="U41" s="24" t="str">
        <f t="shared" si="36"/>
        <v/>
      </c>
      <c r="V41" s="22"/>
      <c r="W41" s="22"/>
      <c r="X41" s="23">
        <f t="shared" si="37"/>
        <v>0</v>
      </c>
      <c r="Y41" s="24" t="str">
        <f t="shared" si="38"/>
        <v/>
      </c>
      <c r="Z41" s="22"/>
      <c r="AA41" s="22"/>
      <c r="AB41" s="23">
        <f t="shared" si="39"/>
        <v>0</v>
      </c>
      <c r="AC41" s="24" t="str">
        <f t="shared" si="40"/>
        <v/>
      </c>
      <c r="AD41" s="22"/>
      <c r="AE41" s="22"/>
      <c r="AF41" s="23">
        <f t="shared" si="41"/>
        <v>0</v>
      </c>
      <c r="AG41" s="24" t="str">
        <f t="shared" si="42"/>
        <v/>
      </c>
      <c r="AH41" s="22"/>
      <c r="AI41" s="22"/>
      <c r="AJ41" s="23">
        <f t="shared" si="43"/>
        <v>0</v>
      </c>
      <c r="AK41" s="24" t="str">
        <f t="shared" si="44"/>
        <v/>
      </c>
      <c r="AL41" s="22"/>
      <c r="AM41" s="22"/>
      <c r="AN41" s="23">
        <f t="shared" si="45"/>
        <v>0</v>
      </c>
      <c r="AO41" s="24" t="str">
        <f t="shared" si="46"/>
        <v/>
      </c>
      <c r="AP41" s="22"/>
      <c r="AQ41" s="22"/>
      <c r="AR41" s="23">
        <f t="shared" si="47"/>
        <v>0</v>
      </c>
      <c r="AS41" s="24" t="str">
        <f t="shared" si="48"/>
        <v/>
      </c>
      <c r="AT41" s="22"/>
      <c r="AU41" s="22"/>
      <c r="AV41" s="23">
        <f t="shared" si="49"/>
        <v>0</v>
      </c>
      <c r="AW41" s="24" t="str">
        <f t="shared" si="50"/>
        <v/>
      </c>
      <c r="AX41" s="23">
        <f t="shared" si="51"/>
        <v>0</v>
      </c>
      <c r="AY41" s="23">
        <f t="shared" si="51"/>
        <v>0</v>
      </c>
      <c r="AZ41" s="23">
        <f t="shared" si="52"/>
        <v>0</v>
      </c>
      <c r="BA41" s="24" t="str">
        <f t="shared" si="53"/>
        <v/>
      </c>
    </row>
    <row r="42" spans="1:53" x14ac:dyDescent="0.3">
      <c r="A42" s="21" t="s">
        <v>121</v>
      </c>
      <c r="B42" s="23">
        <f>5500</f>
        <v>5500</v>
      </c>
      <c r="C42" s="22"/>
      <c r="D42" s="23">
        <f t="shared" si="27"/>
        <v>5500</v>
      </c>
      <c r="E42" s="24" t="str">
        <f t="shared" si="28"/>
        <v/>
      </c>
      <c r="F42" s="22"/>
      <c r="G42" s="22"/>
      <c r="H42" s="23">
        <f t="shared" si="29"/>
        <v>0</v>
      </c>
      <c r="I42" s="24" t="str">
        <f t="shared" si="30"/>
        <v/>
      </c>
      <c r="J42" s="22"/>
      <c r="K42" s="22"/>
      <c r="L42" s="23">
        <f t="shared" si="31"/>
        <v>0</v>
      </c>
      <c r="M42" s="24" t="str">
        <f t="shared" si="32"/>
        <v/>
      </c>
      <c r="N42" s="22"/>
      <c r="O42" s="22"/>
      <c r="P42" s="23">
        <f t="shared" si="33"/>
        <v>0</v>
      </c>
      <c r="Q42" s="24" t="str">
        <f t="shared" si="34"/>
        <v/>
      </c>
      <c r="R42" s="22"/>
      <c r="S42" s="22"/>
      <c r="T42" s="23">
        <f t="shared" si="35"/>
        <v>0</v>
      </c>
      <c r="U42" s="24" t="str">
        <f t="shared" si="36"/>
        <v/>
      </c>
      <c r="V42" s="22"/>
      <c r="W42" s="22"/>
      <c r="X42" s="23">
        <f t="shared" si="37"/>
        <v>0</v>
      </c>
      <c r="Y42" s="24" t="str">
        <f t="shared" si="38"/>
        <v/>
      </c>
      <c r="Z42" s="22"/>
      <c r="AA42" s="22"/>
      <c r="AB42" s="23">
        <f t="shared" si="39"/>
        <v>0</v>
      </c>
      <c r="AC42" s="24" t="str">
        <f t="shared" si="40"/>
        <v/>
      </c>
      <c r="AD42" s="22"/>
      <c r="AE42" s="22"/>
      <c r="AF42" s="23">
        <f t="shared" si="41"/>
        <v>0</v>
      </c>
      <c r="AG42" s="24" t="str">
        <f t="shared" si="42"/>
        <v/>
      </c>
      <c r="AH42" s="22"/>
      <c r="AI42" s="22"/>
      <c r="AJ42" s="23">
        <f t="shared" si="43"/>
        <v>0</v>
      </c>
      <c r="AK42" s="24" t="str">
        <f t="shared" si="44"/>
        <v/>
      </c>
      <c r="AL42" s="22"/>
      <c r="AM42" s="22"/>
      <c r="AN42" s="23">
        <f t="shared" si="45"/>
        <v>0</v>
      </c>
      <c r="AO42" s="24" t="str">
        <f t="shared" si="46"/>
        <v/>
      </c>
      <c r="AP42" s="22"/>
      <c r="AQ42" s="22"/>
      <c r="AR42" s="23">
        <f t="shared" si="47"/>
        <v>0</v>
      </c>
      <c r="AS42" s="24" t="str">
        <f t="shared" si="48"/>
        <v/>
      </c>
      <c r="AT42" s="22"/>
      <c r="AU42" s="22"/>
      <c r="AV42" s="23">
        <f t="shared" si="49"/>
        <v>0</v>
      </c>
      <c r="AW42" s="24" t="str">
        <f t="shared" si="50"/>
        <v/>
      </c>
      <c r="AX42" s="23">
        <f t="shared" si="51"/>
        <v>5500</v>
      </c>
      <c r="AY42" s="23">
        <f t="shared" si="51"/>
        <v>0</v>
      </c>
      <c r="AZ42" s="23">
        <f t="shared" si="52"/>
        <v>5500</v>
      </c>
      <c r="BA42" s="24" t="str">
        <f t="shared" si="53"/>
        <v/>
      </c>
    </row>
    <row r="43" spans="1:53" x14ac:dyDescent="0.3">
      <c r="A43" s="21" t="s">
        <v>122</v>
      </c>
      <c r="B43" s="25">
        <f>(B41)+(B42)</f>
        <v>5500</v>
      </c>
      <c r="C43" s="25">
        <f>(C41)+(C42)</f>
        <v>0</v>
      </c>
      <c r="D43" s="25">
        <f t="shared" si="27"/>
        <v>5500</v>
      </c>
      <c r="E43" s="26" t="str">
        <f t="shared" si="28"/>
        <v/>
      </c>
      <c r="F43" s="25">
        <f>(F41)+(F42)</f>
        <v>0</v>
      </c>
      <c r="G43" s="25">
        <f>(G41)+(G42)</f>
        <v>0</v>
      </c>
      <c r="H43" s="25">
        <f t="shared" si="29"/>
        <v>0</v>
      </c>
      <c r="I43" s="26" t="str">
        <f t="shared" si="30"/>
        <v/>
      </c>
      <c r="J43" s="25">
        <f>(J41)+(J42)</f>
        <v>0</v>
      </c>
      <c r="K43" s="25">
        <f>(K41)+(K42)</f>
        <v>0</v>
      </c>
      <c r="L43" s="25">
        <f t="shared" si="31"/>
        <v>0</v>
      </c>
      <c r="M43" s="26" t="str">
        <f t="shared" si="32"/>
        <v/>
      </c>
      <c r="N43" s="25">
        <f>(N41)+(N42)</f>
        <v>0</v>
      </c>
      <c r="O43" s="25">
        <f>(O41)+(O42)</f>
        <v>0</v>
      </c>
      <c r="P43" s="25">
        <f t="shared" si="33"/>
        <v>0</v>
      </c>
      <c r="Q43" s="26" t="str">
        <f t="shared" si="34"/>
        <v/>
      </c>
      <c r="R43" s="25">
        <f>(R41)+(R42)</f>
        <v>0</v>
      </c>
      <c r="S43" s="25">
        <f>(S41)+(S42)</f>
        <v>0</v>
      </c>
      <c r="T43" s="25">
        <f t="shared" si="35"/>
        <v>0</v>
      </c>
      <c r="U43" s="26" t="str">
        <f t="shared" si="36"/>
        <v/>
      </c>
      <c r="V43" s="25">
        <f>(V41)+(V42)</f>
        <v>0</v>
      </c>
      <c r="W43" s="25">
        <f>(W41)+(W42)</f>
        <v>0</v>
      </c>
      <c r="X43" s="25">
        <f t="shared" si="37"/>
        <v>0</v>
      </c>
      <c r="Y43" s="26" t="str">
        <f t="shared" si="38"/>
        <v/>
      </c>
      <c r="Z43" s="25">
        <f>(Z41)+(Z42)</f>
        <v>0</v>
      </c>
      <c r="AA43" s="25">
        <f>(AA41)+(AA42)</f>
        <v>0</v>
      </c>
      <c r="AB43" s="25">
        <f t="shared" si="39"/>
        <v>0</v>
      </c>
      <c r="AC43" s="26" t="str">
        <f t="shared" si="40"/>
        <v/>
      </c>
      <c r="AD43" s="25">
        <f>(AD41)+(AD42)</f>
        <v>0</v>
      </c>
      <c r="AE43" s="25">
        <f>(AE41)+(AE42)</f>
        <v>0</v>
      </c>
      <c r="AF43" s="25">
        <f t="shared" si="41"/>
        <v>0</v>
      </c>
      <c r="AG43" s="26" t="str">
        <f t="shared" si="42"/>
        <v/>
      </c>
      <c r="AH43" s="25">
        <f>(AH41)+(AH42)</f>
        <v>0</v>
      </c>
      <c r="AI43" s="25">
        <f>(AI41)+(AI42)</f>
        <v>0</v>
      </c>
      <c r="AJ43" s="25">
        <f t="shared" si="43"/>
        <v>0</v>
      </c>
      <c r="AK43" s="26" t="str">
        <f t="shared" si="44"/>
        <v/>
      </c>
      <c r="AL43" s="25">
        <f>(AL41)+(AL42)</f>
        <v>0</v>
      </c>
      <c r="AM43" s="25">
        <f>(AM41)+(AM42)</f>
        <v>0</v>
      </c>
      <c r="AN43" s="25">
        <f t="shared" si="45"/>
        <v>0</v>
      </c>
      <c r="AO43" s="26" t="str">
        <f t="shared" si="46"/>
        <v/>
      </c>
      <c r="AP43" s="25">
        <f>(AP41)+(AP42)</f>
        <v>0</v>
      </c>
      <c r="AQ43" s="25">
        <f>(AQ41)+(AQ42)</f>
        <v>0</v>
      </c>
      <c r="AR43" s="25">
        <f t="shared" si="47"/>
        <v>0</v>
      </c>
      <c r="AS43" s="26" t="str">
        <f t="shared" si="48"/>
        <v/>
      </c>
      <c r="AT43" s="25">
        <f>(AT41)+(AT42)</f>
        <v>0</v>
      </c>
      <c r="AU43" s="25">
        <f>(AU41)+(AU42)</f>
        <v>0</v>
      </c>
      <c r="AV43" s="25">
        <f t="shared" si="49"/>
        <v>0</v>
      </c>
      <c r="AW43" s="26" t="str">
        <f t="shared" si="50"/>
        <v/>
      </c>
      <c r="AX43" s="25">
        <f t="shared" si="51"/>
        <v>5500</v>
      </c>
      <c r="AY43" s="25">
        <f t="shared" si="51"/>
        <v>0</v>
      </c>
      <c r="AZ43" s="25">
        <f t="shared" si="52"/>
        <v>5500</v>
      </c>
      <c r="BA43" s="26" t="str">
        <f t="shared" si="53"/>
        <v/>
      </c>
    </row>
    <row r="44" spans="1:53" x14ac:dyDescent="0.3">
      <c r="A44" s="21" t="s">
        <v>123</v>
      </c>
      <c r="B44" s="22"/>
      <c r="C44" s="22"/>
      <c r="D44" s="23">
        <f t="shared" si="27"/>
        <v>0</v>
      </c>
      <c r="E44" s="24" t="str">
        <f t="shared" si="28"/>
        <v/>
      </c>
      <c r="F44" s="22"/>
      <c r="G44" s="22"/>
      <c r="H44" s="23">
        <f t="shared" si="29"/>
        <v>0</v>
      </c>
      <c r="I44" s="24" t="str">
        <f t="shared" si="30"/>
        <v/>
      </c>
      <c r="J44" s="23">
        <f>517.5</f>
        <v>517.5</v>
      </c>
      <c r="K44" s="22"/>
      <c r="L44" s="23">
        <f t="shared" si="31"/>
        <v>517.5</v>
      </c>
      <c r="M44" s="24" t="str">
        <f t="shared" si="32"/>
        <v/>
      </c>
      <c r="N44" s="23">
        <f>1835.76</f>
        <v>1835.76</v>
      </c>
      <c r="O44" s="22"/>
      <c r="P44" s="23">
        <f t="shared" si="33"/>
        <v>1835.76</v>
      </c>
      <c r="Q44" s="24" t="str">
        <f t="shared" si="34"/>
        <v/>
      </c>
      <c r="R44" s="23">
        <f>2840</f>
        <v>2840</v>
      </c>
      <c r="S44" s="22"/>
      <c r="T44" s="23">
        <f t="shared" si="35"/>
        <v>2840</v>
      </c>
      <c r="U44" s="24" t="str">
        <f t="shared" si="36"/>
        <v/>
      </c>
      <c r="V44" s="22"/>
      <c r="W44" s="22"/>
      <c r="X44" s="23">
        <f t="shared" si="37"/>
        <v>0</v>
      </c>
      <c r="Y44" s="24" t="str">
        <f t="shared" si="38"/>
        <v/>
      </c>
      <c r="Z44" s="22"/>
      <c r="AA44" s="22"/>
      <c r="AB44" s="23">
        <f t="shared" si="39"/>
        <v>0</v>
      </c>
      <c r="AC44" s="24" t="str">
        <f t="shared" si="40"/>
        <v/>
      </c>
      <c r="AD44" s="22"/>
      <c r="AE44" s="22"/>
      <c r="AF44" s="23">
        <f t="shared" si="41"/>
        <v>0</v>
      </c>
      <c r="AG44" s="24" t="str">
        <f t="shared" si="42"/>
        <v/>
      </c>
      <c r="AH44" s="22"/>
      <c r="AI44" s="22"/>
      <c r="AJ44" s="23">
        <f t="shared" si="43"/>
        <v>0</v>
      </c>
      <c r="AK44" s="24" t="str">
        <f t="shared" si="44"/>
        <v/>
      </c>
      <c r="AL44" s="22"/>
      <c r="AM44" s="22"/>
      <c r="AN44" s="23">
        <f t="shared" si="45"/>
        <v>0</v>
      </c>
      <c r="AO44" s="24" t="str">
        <f t="shared" si="46"/>
        <v/>
      </c>
      <c r="AP44" s="23">
        <f>653</f>
        <v>653</v>
      </c>
      <c r="AQ44" s="22"/>
      <c r="AR44" s="23">
        <f t="shared" si="47"/>
        <v>653</v>
      </c>
      <c r="AS44" s="24" t="str">
        <f t="shared" si="48"/>
        <v/>
      </c>
      <c r="AT44" s="23">
        <f>4512</f>
        <v>4512</v>
      </c>
      <c r="AU44" s="22"/>
      <c r="AV44" s="23">
        <f t="shared" si="49"/>
        <v>4512</v>
      </c>
      <c r="AW44" s="24" t="str">
        <f t="shared" si="50"/>
        <v/>
      </c>
      <c r="AX44" s="23">
        <f t="shared" si="51"/>
        <v>10358.26</v>
      </c>
      <c r="AY44" s="23">
        <f t="shared" si="51"/>
        <v>0</v>
      </c>
      <c r="AZ44" s="23">
        <f t="shared" si="52"/>
        <v>10358.26</v>
      </c>
      <c r="BA44" s="24" t="str">
        <f t="shared" si="53"/>
        <v/>
      </c>
    </row>
    <row r="45" spans="1:53" x14ac:dyDescent="0.3">
      <c r="A45" s="21" t="s">
        <v>124</v>
      </c>
      <c r="B45" s="22"/>
      <c r="C45" s="22"/>
      <c r="D45" s="23">
        <f t="shared" si="27"/>
        <v>0</v>
      </c>
      <c r="E45" s="24" t="str">
        <f t="shared" si="28"/>
        <v/>
      </c>
      <c r="F45" s="22"/>
      <c r="G45" s="22"/>
      <c r="H45" s="23">
        <f t="shared" si="29"/>
        <v>0</v>
      </c>
      <c r="I45" s="24" t="str">
        <f t="shared" si="30"/>
        <v/>
      </c>
      <c r="J45" s="22"/>
      <c r="K45" s="22"/>
      <c r="L45" s="23">
        <f t="shared" si="31"/>
        <v>0</v>
      </c>
      <c r="M45" s="24" t="str">
        <f t="shared" si="32"/>
        <v/>
      </c>
      <c r="N45" s="22"/>
      <c r="O45" s="22"/>
      <c r="P45" s="23">
        <f t="shared" si="33"/>
        <v>0</v>
      </c>
      <c r="Q45" s="24" t="str">
        <f t="shared" si="34"/>
        <v/>
      </c>
      <c r="R45" s="22"/>
      <c r="S45" s="22"/>
      <c r="T45" s="23">
        <f t="shared" si="35"/>
        <v>0</v>
      </c>
      <c r="U45" s="24" t="str">
        <f t="shared" si="36"/>
        <v/>
      </c>
      <c r="V45" s="22"/>
      <c r="W45" s="22"/>
      <c r="X45" s="23">
        <f t="shared" si="37"/>
        <v>0</v>
      </c>
      <c r="Y45" s="24" t="str">
        <f t="shared" si="38"/>
        <v/>
      </c>
      <c r="Z45" s="22"/>
      <c r="AA45" s="22"/>
      <c r="AB45" s="23">
        <f t="shared" si="39"/>
        <v>0</v>
      </c>
      <c r="AC45" s="24" t="str">
        <f t="shared" si="40"/>
        <v/>
      </c>
      <c r="AD45" s="22"/>
      <c r="AE45" s="22"/>
      <c r="AF45" s="23">
        <f t="shared" si="41"/>
        <v>0</v>
      </c>
      <c r="AG45" s="24" t="str">
        <f t="shared" si="42"/>
        <v/>
      </c>
      <c r="AH45" s="22"/>
      <c r="AI45" s="22"/>
      <c r="AJ45" s="23">
        <f t="shared" si="43"/>
        <v>0</v>
      </c>
      <c r="AK45" s="24" t="str">
        <f t="shared" si="44"/>
        <v/>
      </c>
      <c r="AL45" s="22"/>
      <c r="AM45" s="22"/>
      <c r="AN45" s="23">
        <f t="shared" si="45"/>
        <v>0</v>
      </c>
      <c r="AO45" s="24" t="str">
        <f t="shared" si="46"/>
        <v/>
      </c>
      <c r="AP45" s="22"/>
      <c r="AQ45" s="22"/>
      <c r="AR45" s="23">
        <f t="shared" si="47"/>
        <v>0</v>
      </c>
      <c r="AS45" s="24" t="str">
        <f t="shared" si="48"/>
        <v/>
      </c>
      <c r="AT45" s="22"/>
      <c r="AU45" s="22"/>
      <c r="AV45" s="23">
        <f t="shared" si="49"/>
        <v>0</v>
      </c>
      <c r="AW45" s="24" t="str">
        <f t="shared" si="50"/>
        <v/>
      </c>
      <c r="AX45" s="23">
        <f t="shared" si="51"/>
        <v>0</v>
      </c>
      <c r="AY45" s="23">
        <f t="shared" si="51"/>
        <v>0</v>
      </c>
      <c r="AZ45" s="23">
        <f t="shared" si="52"/>
        <v>0</v>
      </c>
      <c r="BA45" s="24" t="str">
        <f t="shared" si="53"/>
        <v/>
      </c>
    </row>
    <row r="46" spans="1:53" x14ac:dyDescent="0.3">
      <c r="A46" s="21" t="s">
        <v>125</v>
      </c>
      <c r="B46" s="23">
        <f>50.34</f>
        <v>50.34</v>
      </c>
      <c r="C46" s="22"/>
      <c r="D46" s="23">
        <f t="shared" si="27"/>
        <v>50.34</v>
      </c>
      <c r="E46" s="24" t="str">
        <f t="shared" si="28"/>
        <v/>
      </c>
      <c r="F46" s="23">
        <f>686.08</f>
        <v>686.08</v>
      </c>
      <c r="G46" s="22"/>
      <c r="H46" s="23">
        <f t="shared" si="29"/>
        <v>686.08</v>
      </c>
      <c r="I46" s="24" t="str">
        <f t="shared" si="30"/>
        <v/>
      </c>
      <c r="J46" s="23">
        <f>993.01</f>
        <v>993.01</v>
      </c>
      <c r="K46" s="22"/>
      <c r="L46" s="23">
        <f t="shared" si="31"/>
        <v>993.01</v>
      </c>
      <c r="M46" s="24" t="str">
        <f t="shared" si="32"/>
        <v/>
      </c>
      <c r="N46" s="23">
        <f>1299.19</f>
        <v>1299.19</v>
      </c>
      <c r="O46" s="22"/>
      <c r="P46" s="23">
        <f t="shared" si="33"/>
        <v>1299.19</v>
      </c>
      <c r="Q46" s="24" t="str">
        <f t="shared" si="34"/>
        <v/>
      </c>
      <c r="R46" s="23">
        <f>1490.51</f>
        <v>1490.51</v>
      </c>
      <c r="S46" s="22"/>
      <c r="T46" s="23">
        <f t="shared" si="35"/>
        <v>1490.51</v>
      </c>
      <c r="U46" s="24" t="str">
        <f t="shared" si="36"/>
        <v/>
      </c>
      <c r="V46" s="23">
        <f>1140.95</f>
        <v>1140.95</v>
      </c>
      <c r="W46" s="22"/>
      <c r="X46" s="23">
        <f t="shared" si="37"/>
        <v>1140.95</v>
      </c>
      <c r="Y46" s="24" t="str">
        <f t="shared" si="38"/>
        <v/>
      </c>
      <c r="Z46" s="23">
        <f>1199.34</f>
        <v>1199.3399999999999</v>
      </c>
      <c r="AA46" s="22"/>
      <c r="AB46" s="23">
        <f t="shared" si="39"/>
        <v>1199.3399999999999</v>
      </c>
      <c r="AC46" s="24" t="str">
        <f t="shared" si="40"/>
        <v/>
      </c>
      <c r="AD46" s="23">
        <f>962.08</f>
        <v>962.08</v>
      </c>
      <c r="AE46" s="22"/>
      <c r="AF46" s="23">
        <f t="shared" si="41"/>
        <v>962.08</v>
      </c>
      <c r="AG46" s="24" t="str">
        <f t="shared" si="42"/>
        <v/>
      </c>
      <c r="AH46" s="23">
        <f>1535.97</f>
        <v>1535.97</v>
      </c>
      <c r="AI46" s="22"/>
      <c r="AJ46" s="23">
        <f t="shared" si="43"/>
        <v>1535.97</v>
      </c>
      <c r="AK46" s="24" t="str">
        <f t="shared" si="44"/>
        <v/>
      </c>
      <c r="AL46" s="23">
        <f>1329.79</f>
        <v>1329.79</v>
      </c>
      <c r="AM46" s="22"/>
      <c r="AN46" s="23">
        <f t="shared" si="45"/>
        <v>1329.79</v>
      </c>
      <c r="AO46" s="24" t="str">
        <f t="shared" si="46"/>
        <v/>
      </c>
      <c r="AP46" s="23">
        <f>948.01</f>
        <v>948.01</v>
      </c>
      <c r="AQ46" s="22"/>
      <c r="AR46" s="23">
        <f t="shared" si="47"/>
        <v>948.01</v>
      </c>
      <c r="AS46" s="24" t="str">
        <f t="shared" si="48"/>
        <v/>
      </c>
      <c r="AT46" s="23">
        <f>524.91</f>
        <v>524.91</v>
      </c>
      <c r="AU46" s="22"/>
      <c r="AV46" s="23">
        <f t="shared" si="49"/>
        <v>524.91</v>
      </c>
      <c r="AW46" s="24" t="str">
        <f t="shared" si="50"/>
        <v/>
      </c>
      <c r="AX46" s="23">
        <f t="shared" si="51"/>
        <v>12160.179999999998</v>
      </c>
      <c r="AY46" s="23">
        <f t="shared" si="51"/>
        <v>0</v>
      </c>
      <c r="AZ46" s="23">
        <f t="shared" si="52"/>
        <v>12160.179999999998</v>
      </c>
      <c r="BA46" s="24" t="str">
        <f t="shared" si="53"/>
        <v/>
      </c>
    </row>
    <row r="47" spans="1:53" x14ac:dyDescent="0.3">
      <c r="A47" s="21" t="s">
        <v>126</v>
      </c>
      <c r="B47" s="23">
        <f>5.38</f>
        <v>5.38</v>
      </c>
      <c r="C47" s="22"/>
      <c r="D47" s="23">
        <f t="shared" si="27"/>
        <v>5.38</v>
      </c>
      <c r="E47" s="24" t="str">
        <f t="shared" si="28"/>
        <v/>
      </c>
      <c r="F47" s="23">
        <f>1411.34</f>
        <v>1411.34</v>
      </c>
      <c r="G47" s="22"/>
      <c r="H47" s="23">
        <f t="shared" si="29"/>
        <v>1411.34</v>
      </c>
      <c r="I47" s="24" t="str">
        <f t="shared" si="30"/>
        <v/>
      </c>
      <c r="J47" s="23">
        <f>1739.44</f>
        <v>1739.44</v>
      </c>
      <c r="K47" s="22"/>
      <c r="L47" s="23">
        <f t="shared" si="31"/>
        <v>1739.44</v>
      </c>
      <c r="M47" s="24" t="str">
        <f t="shared" si="32"/>
        <v/>
      </c>
      <c r="N47" s="23">
        <f>1941.69</f>
        <v>1941.69</v>
      </c>
      <c r="O47" s="22"/>
      <c r="P47" s="23">
        <f t="shared" si="33"/>
        <v>1941.69</v>
      </c>
      <c r="Q47" s="24" t="str">
        <f t="shared" si="34"/>
        <v/>
      </c>
      <c r="R47" s="23">
        <f>1329.15</f>
        <v>1329.15</v>
      </c>
      <c r="S47" s="22"/>
      <c r="T47" s="23">
        <f t="shared" si="35"/>
        <v>1329.15</v>
      </c>
      <c r="U47" s="24" t="str">
        <f t="shared" si="36"/>
        <v/>
      </c>
      <c r="V47" s="23">
        <f>1967.05</f>
        <v>1967.05</v>
      </c>
      <c r="W47" s="22"/>
      <c r="X47" s="23">
        <f t="shared" si="37"/>
        <v>1967.05</v>
      </c>
      <c r="Y47" s="24" t="str">
        <f t="shared" si="38"/>
        <v/>
      </c>
      <c r="Z47" s="23">
        <f>389.32</f>
        <v>389.32</v>
      </c>
      <c r="AA47" s="22"/>
      <c r="AB47" s="23">
        <f t="shared" si="39"/>
        <v>389.32</v>
      </c>
      <c r="AC47" s="24" t="str">
        <f t="shared" si="40"/>
        <v/>
      </c>
      <c r="AD47" s="23">
        <f>1923.27</f>
        <v>1923.27</v>
      </c>
      <c r="AE47" s="22"/>
      <c r="AF47" s="23">
        <f t="shared" si="41"/>
        <v>1923.27</v>
      </c>
      <c r="AG47" s="24" t="str">
        <f t="shared" si="42"/>
        <v/>
      </c>
      <c r="AH47" s="23">
        <f>1476.08</f>
        <v>1476.08</v>
      </c>
      <c r="AI47" s="22"/>
      <c r="AJ47" s="23">
        <f t="shared" si="43"/>
        <v>1476.08</v>
      </c>
      <c r="AK47" s="24" t="str">
        <f t="shared" si="44"/>
        <v/>
      </c>
      <c r="AL47" s="23">
        <f>1705.2</f>
        <v>1705.2</v>
      </c>
      <c r="AM47" s="22"/>
      <c r="AN47" s="23">
        <f t="shared" si="45"/>
        <v>1705.2</v>
      </c>
      <c r="AO47" s="24" t="str">
        <f t="shared" si="46"/>
        <v/>
      </c>
      <c r="AP47" s="23">
        <f>680.08</f>
        <v>680.08</v>
      </c>
      <c r="AQ47" s="22"/>
      <c r="AR47" s="23">
        <f t="shared" si="47"/>
        <v>680.08</v>
      </c>
      <c r="AS47" s="24" t="str">
        <f t="shared" si="48"/>
        <v/>
      </c>
      <c r="AT47" s="23">
        <f>404.5</f>
        <v>404.5</v>
      </c>
      <c r="AU47" s="22"/>
      <c r="AV47" s="23">
        <f t="shared" si="49"/>
        <v>404.5</v>
      </c>
      <c r="AW47" s="24" t="str">
        <f t="shared" si="50"/>
        <v/>
      </c>
      <c r="AX47" s="23">
        <f t="shared" si="51"/>
        <v>14972.5</v>
      </c>
      <c r="AY47" s="23">
        <f t="shared" si="51"/>
        <v>0</v>
      </c>
      <c r="AZ47" s="23">
        <f t="shared" si="52"/>
        <v>14972.5</v>
      </c>
      <c r="BA47" s="24" t="str">
        <f t="shared" si="53"/>
        <v/>
      </c>
    </row>
    <row r="48" spans="1:53" x14ac:dyDescent="0.3">
      <c r="A48" s="21" t="s">
        <v>127</v>
      </c>
      <c r="B48" s="23">
        <f>45</f>
        <v>45</v>
      </c>
      <c r="C48" s="22"/>
      <c r="D48" s="23">
        <f t="shared" si="27"/>
        <v>45</v>
      </c>
      <c r="E48" s="24" t="str">
        <f t="shared" si="28"/>
        <v/>
      </c>
      <c r="F48" s="22"/>
      <c r="G48" s="22"/>
      <c r="H48" s="23">
        <f t="shared" si="29"/>
        <v>0</v>
      </c>
      <c r="I48" s="24" t="str">
        <f t="shared" si="30"/>
        <v/>
      </c>
      <c r="J48" s="23">
        <f>835.98</f>
        <v>835.98</v>
      </c>
      <c r="K48" s="22"/>
      <c r="L48" s="23">
        <f t="shared" si="31"/>
        <v>835.98</v>
      </c>
      <c r="M48" s="24" t="str">
        <f t="shared" si="32"/>
        <v/>
      </c>
      <c r="N48" s="22"/>
      <c r="O48" s="22"/>
      <c r="P48" s="23">
        <f t="shared" si="33"/>
        <v>0</v>
      </c>
      <c r="Q48" s="24" t="str">
        <f t="shared" si="34"/>
        <v/>
      </c>
      <c r="R48" s="22"/>
      <c r="S48" s="22"/>
      <c r="T48" s="23">
        <f t="shared" si="35"/>
        <v>0</v>
      </c>
      <c r="U48" s="24" t="str">
        <f t="shared" si="36"/>
        <v/>
      </c>
      <c r="V48" s="23">
        <f>1887.33</f>
        <v>1887.33</v>
      </c>
      <c r="W48" s="22"/>
      <c r="X48" s="23">
        <f t="shared" si="37"/>
        <v>1887.33</v>
      </c>
      <c r="Y48" s="24" t="str">
        <f t="shared" si="38"/>
        <v/>
      </c>
      <c r="Z48" s="22"/>
      <c r="AA48" s="22"/>
      <c r="AB48" s="23">
        <f t="shared" si="39"/>
        <v>0</v>
      </c>
      <c r="AC48" s="24" t="str">
        <f t="shared" si="40"/>
        <v/>
      </c>
      <c r="AD48" s="23">
        <f>1460.95</f>
        <v>1460.95</v>
      </c>
      <c r="AE48" s="22"/>
      <c r="AF48" s="23">
        <f t="shared" si="41"/>
        <v>1460.95</v>
      </c>
      <c r="AG48" s="24" t="str">
        <f t="shared" si="42"/>
        <v/>
      </c>
      <c r="AH48" s="22"/>
      <c r="AI48" s="22"/>
      <c r="AJ48" s="23">
        <f t="shared" si="43"/>
        <v>0</v>
      </c>
      <c r="AK48" s="24" t="str">
        <f t="shared" si="44"/>
        <v/>
      </c>
      <c r="AL48" s="23">
        <f>1460.95</f>
        <v>1460.95</v>
      </c>
      <c r="AM48" s="22"/>
      <c r="AN48" s="23">
        <f t="shared" si="45"/>
        <v>1460.95</v>
      </c>
      <c r="AO48" s="24" t="str">
        <f t="shared" si="46"/>
        <v/>
      </c>
      <c r="AP48" s="22"/>
      <c r="AQ48" s="22"/>
      <c r="AR48" s="23">
        <f t="shared" si="47"/>
        <v>0</v>
      </c>
      <c r="AS48" s="24" t="str">
        <f t="shared" si="48"/>
        <v/>
      </c>
      <c r="AT48" s="23">
        <f>52</f>
        <v>52</v>
      </c>
      <c r="AU48" s="22"/>
      <c r="AV48" s="23">
        <f t="shared" si="49"/>
        <v>52</v>
      </c>
      <c r="AW48" s="24" t="str">
        <f t="shared" si="50"/>
        <v/>
      </c>
      <c r="AX48" s="23">
        <f t="shared" si="51"/>
        <v>5742.21</v>
      </c>
      <c r="AY48" s="23">
        <f t="shared" si="51"/>
        <v>0</v>
      </c>
      <c r="AZ48" s="23">
        <f t="shared" si="52"/>
        <v>5742.21</v>
      </c>
      <c r="BA48" s="24" t="str">
        <f t="shared" si="53"/>
        <v/>
      </c>
    </row>
    <row r="49" spans="1:53" x14ac:dyDescent="0.3">
      <c r="A49" s="21" t="s">
        <v>128</v>
      </c>
      <c r="B49" s="25">
        <f>(((B45)+(B46))+(B47))+(B48)</f>
        <v>100.72</v>
      </c>
      <c r="C49" s="25">
        <f>(((C45)+(C46))+(C47))+(C48)</f>
        <v>0</v>
      </c>
      <c r="D49" s="25">
        <f t="shared" si="27"/>
        <v>100.72</v>
      </c>
      <c r="E49" s="26" t="str">
        <f t="shared" si="28"/>
        <v/>
      </c>
      <c r="F49" s="25">
        <f>(((F45)+(F46))+(F47))+(F48)</f>
        <v>2097.42</v>
      </c>
      <c r="G49" s="25">
        <f>(((G45)+(G46))+(G47))+(G48)</f>
        <v>0</v>
      </c>
      <c r="H49" s="25">
        <f t="shared" si="29"/>
        <v>2097.42</v>
      </c>
      <c r="I49" s="26" t="str">
        <f t="shared" si="30"/>
        <v/>
      </c>
      <c r="J49" s="25">
        <f>(((J45)+(J46))+(J47))+(J48)</f>
        <v>3568.43</v>
      </c>
      <c r="K49" s="25">
        <f>(((K45)+(K46))+(K47))+(K48)</f>
        <v>0</v>
      </c>
      <c r="L49" s="25">
        <f t="shared" si="31"/>
        <v>3568.43</v>
      </c>
      <c r="M49" s="26" t="str">
        <f t="shared" si="32"/>
        <v/>
      </c>
      <c r="N49" s="25">
        <f>(((N45)+(N46))+(N47))+(N48)</f>
        <v>3240.88</v>
      </c>
      <c r="O49" s="25">
        <f>(((O45)+(O46))+(O47))+(O48)</f>
        <v>0</v>
      </c>
      <c r="P49" s="25">
        <f t="shared" si="33"/>
        <v>3240.88</v>
      </c>
      <c r="Q49" s="26" t="str">
        <f t="shared" si="34"/>
        <v/>
      </c>
      <c r="R49" s="25">
        <f>(((R45)+(R46))+(R47))+(R48)</f>
        <v>2819.66</v>
      </c>
      <c r="S49" s="25">
        <f>(((S45)+(S46))+(S47))+(S48)</f>
        <v>0</v>
      </c>
      <c r="T49" s="25">
        <f t="shared" si="35"/>
        <v>2819.66</v>
      </c>
      <c r="U49" s="26" t="str">
        <f t="shared" si="36"/>
        <v/>
      </c>
      <c r="V49" s="25">
        <f>(((V45)+(V46))+(V47))+(V48)</f>
        <v>4995.33</v>
      </c>
      <c r="W49" s="25">
        <f>(((W45)+(W46))+(W47))+(W48)</f>
        <v>0</v>
      </c>
      <c r="X49" s="25">
        <f t="shared" si="37"/>
        <v>4995.33</v>
      </c>
      <c r="Y49" s="26" t="str">
        <f t="shared" si="38"/>
        <v/>
      </c>
      <c r="Z49" s="25">
        <f>(((Z45)+(Z46))+(Z47))+(Z48)</f>
        <v>1588.6599999999999</v>
      </c>
      <c r="AA49" s="25">
        <f>(((AA45)+(AA46))+(AA47))+(AA48)</f>
        <v>0</v>
      </c>
      <c r="AB49" s="25">
        <f t="shared" si="39"/>
        <v>1588.6599999999999</v>
      </c>
      <c r="AC49" s="26" t="str">
        <f t="shared" si="40"/>
        <v/>
      </c>
      <c r="AD49" s="25">
        <f>(((AD45)+(AD46))+(AD47))+(AD48)</f>
        <v>4346.3</v>
      </c>
      <c r="AE49" s="25">
        <f>(((AE45)+(AE46))+(AE47))+(AE48)</f>
        <v>0</v>
      </c>
      <c r="AF49" s="25">
        <f t="shared" si="41"/>
        <v>4346.3</v>
      </c>
      <c r="AG49" s="26" t="str">
        <f t="shared" si="42"/>
        <v/>
      </c>
      <c r="AH49" s="25">
        <f>(((AH45)+(AH46))+(AH47))+(AH48)</f>
        <v>3012.05</v>
      </c>
      <c r="AI49" s="25">
        <f>(((AI45)+(AI46))+(AI47))+(AI48)</f>
        <v>0</v>
      </c>
      <c r="AJ49" s="25">
        <f t="shared" si="43"/>
        <v>3012.05</v>
      </c>
      <c r="AK49" s="26" t="str">
        <f t="shared" si="44"/>
        <v/>
      </c>
      <c r="AL49" s="25">
        <f>(((AL45)+(AL46))+(AL47))+(AL48)</f>
        <v>4495.9399999999996</v>
      </c>
      <c r="AM49" s="25">
        <f>(((AM45)+(AM46))+(AM47))+(AM48)</f>
        <v>0</v>
      </c>
      <c r="AN49" s="25">
        <f t="shared" si="45"/>
        <v>4495.9399999999996</v>
      </c>
      <c r="AO49" s="26" t="str">
        <f t="shared" si="46"/>
        <v/>
      </c>
      <c r="AP49" s="25">
        <f>(((AP45)+(AP46))+(AP47))+(AP48)</f>
        <v>1628.0900000000001</v>
      </c>
      <c r="AQ49" s="25">
        <f>(((AQ45)+(AQ46))+(AQ47))+(AQ48)</f>
        <v>0</v>
      </c>
      <c r="AR49" s="25">
        <f t="shared" si="47"/>
        <v>1628.0900000000001</v>
      </c>
      <c r="AS49" s="26" t="str">
        <f t="shared" si="48"/>
        <v/>
      </c>
      <c r="AT49" s="25">
        <f>(((AT45)+(AT46))+(AT47))+(AT48)</f>
        <v>981.41</v>
      </c>
      <c r="AU49" s="25">
        <f>(((AU45)+(AU46))+(AU47))+(AU48)</f>
        <v>0</v>
      </c>
      <c r="AV49" s="25">
        <f t="shared" si="49"/>
        <v>981.41</v>
      </c>
      <c r="AW49" s="26" t="str">
        <f t="shared" si="50"/>
        <v/>
      </c>
      <c r="AX49" s="25">
        <f t="shared" si="51"/>
        <v>32874.89</v>
      </c>
      <c r="AY49" s="25">
        <f t="shared" si="51"/>
        <v>0</v>
      </c>
      <c r="AZ49" s="25">
        <f t="shared" si="52"/>
        <v>32874.89</v>
      </c>
      <c r="BA49" s="26" t="str">
        <f t="shared" si="53"/>
        <v/>
      </c>
    </row>
    <row r="50" spans="1:53" x14ac:dyDescent="0.3">
      <c r="A50" s="21" t="s">
        <v>129</v>
      </c>
      <c r="B50" s="23">
        <f>1500</f>
        <v>1500</v>
      </c>
      <c r="C50" s="22"/>
      <c r="D50" s="23">
        <f t="shared" si="27"/>
        <v>1500</v>
      </c>
      <c r="E50" s="24" t="str">
        <f t="shared" si="28"/>
        <v/>
      </c>
      <c r="F50" s="22"/>
      <c r="G50" s="22"/>
      <c r="H50" s="23">
        <f t="shared" si="29"/>
        <v>0</v>
      </c>
      <c r="I50" s="24" t="str">
        <f t="shared" si="30"/>
        <v/>
      </c>
      <c r="J50" s="22"/>
      <c r="K50" s="22"/>
      <c r="L50" s="23">
        <f t="shared" si="31"/>
        <v>0</v>
      </c>
      <c r="M50" s="24" t="str">
        <f t="shared" si="32"/>
        <v/>
      </c>
      <c r="N50" s="22"/>
      <c r="O50" s="22"/>
      <c r="P50" s="23">
        <f t="shared" si="33"/>
        <v>0</v>
      </c>
      <c r="Q50" s="24" t="str">
        <f t="shared" si="34"/>
        <v/>
      </c>
      <c r="R50" s="22"/>
      <c r="S50" s="22"/>
      <c r="T50" s="23">
        <f t="shared" si="35"/>
        <v>0</v>
      </c>
      <c r="U50" s="24" t="str">
        <f t="shared" si="36"/>
        <v/>
      </c>
      <c r="V50" s="23">
        <f>2000</f>
        <v>2000</v>
      </c>
      <c r="W50" s="22"/>
      <c r="X50" s="23">
        <f t="shared" si="37"/>
        <v>2000</v>
      </c>
      <c r="Y50" s="24" t="str">
        <f t="shared" si="38"/>
        <v/>
      </c>
      <c r="Z50" s="22"/>
      <c r="AA50" s="22"/>
      <c r="AB50" s="23">
        <f t="shared" si="39"/>
        <v>0</v>
      </c>
      <c r="AC50" s="24" t="str">
        <f t="shared" si="40"/>
        <v/>
      </c>
      <c r="AD50" s="22"/>
      <c r="AE50" s="22"/>
      <c r="AF50" s="23">
        <f t="shared" si="41"/>
        <v>0</v>
      </c>
      <c r="AG50" s="24" t="str">
        <f t="shared" si="42"/>
        <v/>
      </c>
      <c r="AH50" s="22"/>
      <c r="AI50" s="22"/>
      <c r="AJ50" s="23">
        <f t="shared" si="43"/>
        <v>0</v>
      </c>
      <c r="AK50" s="24" t="str">
        <f t="shared" si="44"/>
        <v/>
      </c>
      <c r="AL50" s="22"/>
      <c r="AM50" s="22"/>
      <c r="AN50" s="23">
        <f t="shared" si="45"/>
        <v>0</v>
      </c>
      <c r="AO50" s="24" t="str">
        <f t="shared" si="46"/>
        <v/>
      </c>
      <c r="AP50" s="22"/>
      <c r="AQ50" s="22"/>
      <c r="AR50" s="23">
        <f t="shared" si="47"/>
        <v>0</v>
      </c>
      <c r="AS50" s="24" t="str">
        <f t="shared" si="48"/>
        <v/>
      </c>
      <c r="AT50" s="23">
        <f>373</f>
        <v>373</v>
      </c>
      <c r="AU50" s="22"/>
      <c r="AV50" s="23">
        <f t="shared" si="49"/>
        <v>373</v>
      </c>
      <c r="AW50" s="24" t="str">
        <f t="shared" si="50"/>
        <v/>
      </c>
      <c r="AX50" s="23">
        <f t="shared" si="51"/>
        <v>3873</v>
      </c>
      <c r="AY50" s="23">
        <f t="shared" si="51"/>
        <v>0</v>
      </c>
      <c r="AZ50" s="23">
        <f t="shared" si="52"/>
        <v>3873</v>
      </c>
      <c r="BA50" s="24" t="str">
        <f t="shared" si="53"/>
        <v/>
      </c>
    </row>
    <row r="51" spans="1:53" x14ac:dyDescent="0.3">
      <c r="A51" s="21" t="s">
        <v>130</v>
      </c>
      <c r="B51" s="25">
        <f>(((((B34)+(B40))+(B43))+(B44))+(B49))+(B50)</f>
        <v>8114.4400000000005</v>
      </c>
      <c r="C51" s="25">
        <f>(((((C34)+(C40))+(C43))+(C44))+(C49))+(C50)</f>
        <v>0</v>
      </c>
      <c r="D51" s="25">
        <f t="shared" si="27"/>
        <v>8114.4400000000005</v>
      </c>
      <c r="E51" s="26" t="str">
        <f t="shared" si="28"/>
        <v/>
      </c>
      <c r="F51" s="25">
        <f>(((((F34)+(F40))+(F43))+(F44))+(F49))+(F50)</f>
        <v>2943.19</v>
      </c>
      <c r="G51" s="25">
        <f>(((((G34)+(G40))+(G43))+(G44))+(G49))+(G50)</f>
        <v>0</v>
      </c>
      <c r="H51" s="25">
        <f t="shared" si="29"/>
        <v>2943.19</v>
      </c>
      <c r="I51" s="26" t="str">
        <f t="shared" si="30"/>
        <v/>
      </c>
      <c r="J51" s="25">
        <f>(((((J34)+(J40))+(J43))+(J44))+(J49))+(J50)</f>
        <v>4533.04</v>
      </c>
      <c r="K51" s="25">
        <f>(((((K34)+(K40))+(K43))+(K44))+(K49))+(K50)</f>
        <v>0</v>
      </c>
      <c r="L51" s="25">
        <f t="shared" si="31"/>
        <v>4533.04</v>
      </c>
      <c r="M51" s="26" t="str">
        <f t="shared" si="32"/>
        <v/>
      </c>
      <c r="N51" s="25">
        <f>(((((N34)+(N40))+(N43))+(N44))+(N49))+(N50)</f>
        <v>6401.77</v>
      </c>
      <c r="O51" s="25">
        <f>(((((O34)+(O40))+(O43))+(O44))+(O49))+(O50)</f>
        <v>0</v>
      </c>
      <c r="P51" s="25">
        <f t="shared" si="33"/>
        <v>6401.77</v>
      </c>
      <c r="Q51" s="26" t="str">
        <f t="shared" si="34"/>
        <v/>
      </c>
      <c r="R51" s="25">
        <f>(((((R34)+(R40))+(R43))+(R44))+(R49))+(R50)</f>
        <v>6456.66</v>
      </c>
      <c r="S51" s="25">
        <f>(((((S34)+(S40))+(S43))+(S44))+(S49))+(S50)</f>
        <v>0</v>
      </c>
      <c r="T51" s="25">
        <f t="shared" si="35"/>
        <v>6456.66</v>
      </c>
      <c r="U51" s="26" t="str">
        <f t="shared" si="36"/>
        <v/>
      </c>
      <c r="V51" s="25">
        <f>(((((V34)+(V40))+(V43))+(V44))+(V49))+(V50)</f>
        <v>7709.63</v>
      </c>
      <c r="W51" s="25">
        <f>(((((W34)+(W40))+(W43))+(W44))+(W49))+(W50)</f>
        <v>0</v>
      </c>
      <c r="X51" s="25">
        <f t="shared" si="37"/>
        <v>7709.63</v>
      </c>
      <c r="Y51" s="26" t="str">
        <f t="shared" si="38"/>
        <v/>
      </c>
      <c r="Z51" s="25">
        <f>(((((Z34)+(Z40))+(Z43))+(Z44))+(Z49))+(Z50)</f>
        <v>2176.4699999999998</v>
      </c>
      <c r="AA51" s="25">
        <f>(((((AA34)+(AA40))+(AA43))+(AA44))+(AA49))+(AA50)</f>
        <v>0</v>
      </c>
      <c r="AB51" s="25">
        <f t="shared" si="39"/>
        <v>2176.4699999999998</v>
      </c>
      <c r="AC51" s="26" t="str">
        <f t="shared" si="40"/>
        <v/>
      </c>
      <c r="AD51" s="25">
        <f>(((((AD34)+(AD40))+(AD43))+(AD44))+(AD49))+(AD50)</f>
        <v>5274.62</v>
      </c>
      <c r="AE51" s="25">
        <f>(((((AE34)+(AE40))+(AE43))+(AE44))+(AE49))+(AE50)</f>
        <v>0</v>
      </c>
      <c r="AF51" s="25">
        <f t="shared" si="41"/>
        <v>5274.62</v>
      </c>
      <c r="AG51" s="26" t="str">
        <f t="shared" si="42"/>
        <v/>
      </c>
      <c r="AH51" s="25">
        <f>(((((AH34)+(AH40))+(AH43))+(AH44))+(AH49))+(AH50)</f>
        <v>4811.2700000000004</v>
      </c>
      <c r="AI51" s="25">
        <f>(((((AI34)+(AI40))+(AI43))+(AI44))+(AI49))+(AI50)</f>
        <v>0</v>
      </c>
      <c r="AJ51" s="25">
        <f t="shared" si="43"/>
        <v>4811.2700000000004</v>
      </c>
      <c r="AK51" s="26" t="str">
        <f t="shared" si="44"/>
        <v/>
      </c>
      <c r="AL51" s="25">
        <f>(((((AL34)+(AL40))+(AL43))+(AL44))+(AL49))+(AL50)</f>
        <v>5156.95</v>
      </c>
      <c r="AM51" s="25">
        <f>(((((AM34)+(AM40))+(AM43))+(AM44))+(AM49))+(AM50)</f>
        <v>0</v>
      </c>
      <c r="AN51" s="25">
        <f t="shared" si="45"/>
        <v>5156.95</v>
      </c>
      <c r="AO51" s="26" t="str">
        <f t="shared" si="46"/>
        <v/>
      </c>
      <c r="AP51" s="25">
        <f>(((((AP34)+(AP40))+(AP43))+(AP44))+(AP49))+(AP50)</f>
        <v>3443.4100000000003</v>
      </c>
      <c r="AQ51" s="25">
        <f>(((((AQ34)+(AQ40))+(AQ43))+(AQ44))+(AQ49))+(AQ50)</f>
        <v>0</v>
      </c>
      <c r="AR51" s="25">
        <f t="shared" si="47"/>
        <v>3443.4100000000003</v>
      </c>
      <c r="AS51" s="26" t="str">
        <f t="shared" si="48"/>
        <v/>
      </c>
      <c r="AT51" s="25">
        <f>(((((AT34)+(AT40))+(AT43))+(AT44))+(AT49))+(AT50)</f>
        <v>6675.12</v>
      </c>
      <c r="AU51" s="25">
        <f>(((((AU34)+(AU40))+(AU43))+(AU44))+(AU49))+(AU50)</f>
        <v>0</v>
      </c>
      <c r="AV51" s="25">
        <f t="shared" si="49"/>
        <v>6675.12</v>
      </c>
      <c r="AW51" s="26" t="str">
        <f t="shared" si="50"/>
        <v/>
      </c>
      <c r="AX51" s="25">
        <f t="shared" si="51"/>
        <v>63696.570000000014</v>
      </c>
      <c r="AY51" s="25">
        <f t="shared" si="51"/>
        <v>0</v>
      </c>
      <c r="AZ51" s="25">
        <f t="shared" si="52"/>
        <v>63696.570000000014</v>
      </c>
      <c r="BA51" s="26" t="str">
        <f t="shared" si="53"/>
        <v/>
      </c>
    </row>
    <row r="52" spans="1:53" x14ac:dyDescent="0.3">
      <c r="A52" s="21" t="s">
        <v>131</v>
      </c>
      <c r="B52" s="23">
        <f>296.55</f>
        <v>296.55</v>
      </c>
      <c r="C52" s="22"/>
      <c r="D52" s="23">
        <f t="shared" si="27"/>
        <v>296.55</v>
      </c>
      <c r="E52" s="24" t="str">
        <f t="shared" si="28"/>
        <v/>
      </c>
      <c r="F52" s="23">
        <f>275.78</f>
        <v>275.77999999999997</v>
      </c>
      <c r="G52" s="22"/>
      <c r="H52" s="23">
        <f t="shared" si="29"/>
        <v>275.77999999999997</v>
      </c>
      <c r="I52" s="24" t="str">
        <f t="shared" si="30"/>
        <v/>
      </c>
      <c r="J52" s="23">
        <f>551.44</f>
        <v>551.44000000000005</v>
      </c>
      <c r="K52" s="22"/>
      <c r="L52" s="23">
        <f t="shared" si="31"/>
        <v>551.44000000000005</v>
      </c>
      <c r="M52" s="24" t="str">
        <f t="shared" si="32"/>
        <v/>
      </c>
      <c r="N52" s="22"/>
      <c r="O52" s="22"/>
      <c r="P52" s="23">
        <f t="shared" si="33"/>
        <v>0</v>
      </c>
      <c r="Q52" s="24" t="str">
        <f t="shared" si="34"/>
        <v/>
      </c>
      <c r="R52" s="23">
        <f>277.83</f>
        <v>277.83</v>
      </c>
      <c r="S52" s="22"/>
      <c r="T52" s="23">
        <f t="shared" si="35"/>
        <v>277.83</v>
      </c>
      <c r="U52" s="24" t="str">
        <f t="shared" si="36"/>
        <v/>
      </c>
      <c r="V52" s="23">
        <f>310.41</f>
        <v>310.41000000000003</v>
      </c>
      <c r="W52" s="22"/>
      <c r="X52" s="23">
        <f t="shared" si="37"/>
        <v>310.41000000000003</v>
      </c>
      <c r="Y52" s="24" t="str">
        <f t="shared" si="38"/>
        <v/>
      </c>
      <c r="Z52" s="23">
        <f>277.55</f>
        <v>277.55</v>
      </c>
      <c r="AA52" s="22"/>
      <c r="AB52" s="23">
        <f t="shared" si="39"/>
        <v>277.55</v>
      </c>
      <c r="AC52" s="24" t="str">
        <f t="shared" si="40"/>
        <v/>
      </c>
      <c r="AD52" s="23">
        <f>282.27</f>
        <v>282.27</v>
      </c>
      <c r="AE52" s="22"/>
      <c r="AF52" s="23">
        <f t="shared" si="41"/>
        <v>282.27</v>
      </c>
      <c r="AG52" s="24" t="str">
        <f t="shared" si="42"/>
        <v/>
      </c>
      <c r="AH52" s="23">
        <f>277.75</f>
        <v>277.75</v>
      </c>
      <c r="AI52" s="22"/>
      <c r="AJ52" s="23">
        <f t="shared" si="43"/>
        <v>277.75</v>
      </c>
      <c r="AK52" s="24" t="str">
        <f t="shared" si="44"/>
        <v/>
      </c>
      <c r="AL52" s="23">
        <f>277.3</f>
        <v>277.3</v>
      </c>
      <c r="AM52" s="22"/>
      <c r="AN52" s="23">
        <f t="shared" si="45"/>
        <v>277.3</v>
      </c>
      <c r="AO52" s="24" t="str">
        <f t="shared" si="46"/>
        <v/>
      </c>
      <c r="AP52" s="23">
        <f>324.01</f>
        <v>324.01</v>
      </c>
      <c r="AQ52" s="22"/>
      <c r="AR52" s="23">
        <f t="shared" si="47"/>
        <v>324.01</v>
      </c>
      <c r="AS52" s="24" t="str">
        <f t="shared" si="48"/>
        <v/>
      </c>
      <c r="AT52" s="23">
        <f>281.06</f>
        <v>281.06</v>
      </c>
      <c r="AU52" s="22"/>
      <c r="AV52" s="23">
        <f t="shared" si="49"/>
        <v>281.06</v>
      </c>
      <c r="AW52" s="24" t="str">
        <f t="shared" si="50"/>
        <v/>
      </c>
      <c r="AX52" s="23">
        <f t="shared" ref="AX52:AY83" si="54">(((((((((((B52)+(F52))+(J52))+(N52))+(R52))+(V52))+(Z52))+(AD52))+(AH52))+(AL52))+(AP52))+(AT52)</f>
        <v>3431.9500000000003</v>
      </c>
      <c r="AY52" s="23">
        <f t="shared" si="54"/>
        <v>0</v>
      </c>
      <c r="AZ52" s="23">
        <f t="shared" si="52"/>
        <v>3431.9500000000003</v>
      </c>
      <c r="BA52" s="24" t="str">
        <f t="shared" si="53"/>
        <v/>
      </c>
    </row>
    <row r="53" spans="1:53" x14ac:dyDescent="0.3">
      <c r="A53" s="21" t="s">
        <v>132</v>
      </c>
      <c r="B53" s="22"/>
      <c r="C53" s="22"/>
      <c r="D53" s="23">
        <f t="shared" si="27"/>
        <v>0</v>
      </c>
      <c r="E53" s="24" t="str">
        <f t="shared" si="28"/>
        <v/>
      </c>
      <c r="F53" s="22"/>
      <c r="G53" s="22"/>
      <c r="H53" s="23">
        <f t="shared" si="29"/>
        <v>0</v>
      </c>
      <c r="I53" s="24" t="str">
        <f t="shared" si="30"/>
        <v/>
      </c>
      <c r="J53" s="22"/>
      <c r="K53" s="22"/>
      <c r="L53" s="23">
        <f t="shared" si="31"/>
        <v>0</v>
      </c>
      <c r="M53" s="24" t="str">
        <f t="shared" si="32"/>
        <v/>
      </c>
      <c r="N53" s="22"/>
      <c r="O53" s="22"/>
      <c r="P53" s="23">
        <f t="shared" si="33"/>
        <v>0</v>
      </c>
      <c r="Q53" s="24" t="str">
        <f t="shared" si="34"/>
        <v/>
      </c>
      <c r="R53" s="22"/>
      <c r="S53" s="22"/>
      <c r="T53" s="23">
        <f t="shared" si="35"/>
        <v>0</v>
      </c>
      <c r="U53" s="24" t="str">
        <f t="shared" si="36"/>
        <v/>
      </c>
      <c r="V53" s="22"/>
      <c r="W53" s="22"/>
      <c r="X53" s="23">
        <f t="shared" si="37"/>
        <v>0</v>
      </c>
      <c r="Y53" s="24" t="str">
        <f t="shared" si="38"/>
        <v/>
      </c>
      <c r="Z53" s="22"/>
      <c r="AA53" s="22"/>
      <c r="AB53" s="23">
        <f t="shared" si="39"/>
        <v>0</v>
      </c>
      <c r="AC53" s="24" t="str">
        <f t="shared" si="40"/>
        <v/>
      </c>
      <c r="AD53" s="22"/>
      <c r="AE53" s="22"/>
      <c r="AF53" s="23">
        <f t="shared" si="41"/>
        <v>0</v>
      </c>
      <c r="AG53" s="24" t="str">
        <f t="shared" si="42"/>
        <v/>
      </c>
      <c r="AH53" s="23">
        <f>4461.06</f>
        <v>4461.0600000000004</v>
      </c>
      <c r="AI53" s="22"/>
      <c r="AJ53" s="23">
        <f t="shared" si="43"/>
        <v>4461.0600000000004</v>
      </c>
      <c r="AK53" s="24" t="str">
        <f t="shared" si="44"/>
        <v/>
      </c>
      <c r="AL53" s="22"/>
      <c r="AM53" s="22"/>
      <c r="AN53" s="23">
        <f t="shared" si="45"/>
        <v>0</v>
      </c>
      <c r="AO53" s="24" t="str">
        <f t="shared" si="46"/>
        <v/>
      </c>
      <c r="AP53" s="22"/>
      <c r="AQ53" s="22"/>
      <c r="AR53" s="23">
        <f t="shared" si="47"/>
        <v>0</v>
      </c>
      <c r="AS53" s="24" t="str">
        <f t="shared" si="48"/>
        <v/>
      </c>
      <c r="AT53" s="22"/>
      <c r="AU53" s="22"/>
      <c r="AV53" s="23">
        <f t="shared" si="49"/>
        <v>0</v>
      </c>
      <c r="AW53" s="24" t="str">
        <f t="shared" si="50"/>
        <v/>
      </c>
      <c r="AX53" s="23">
        <f t="shared" si="54"/>
        <v>4461.0600000000004</v>
      </c>
      <c r="AY53" s="23">
        <f t="shared" si="54"/>
        <v>0</v>
      </c>
      <c r="AZ53" s="23">
        <f t="shared" si="52"/>
        <v>4461.0600000000004</v>
      </c>
      <c r="BA53" s="24" t="str">
        <f t="shared" si="53"/>
        <v/>
      </c>
    </row>
    <row r="54" spans="1:53" x14ac:dyDescent="0.3">
      <c r="A54" s="21" t="s">
        <v>133</v>
      </c>
      <c r="B54" s="22"/>
      <c r="C54" s="22"/>
      <c r="D54" s="23">
        <f t="shared" si="27"/>
        <v>0</v>
      </c>
      <c r="E54" s="24" t="str">
        <f t="shared" si="28"/>
        <v/>
      </c>
      <c r="F54" s="22"/>
      <c r="G54" s="22"/>
      <c r="H54" s="23">
        <f t="shared" si="29"/>
        <v>0</v>
      </c>
      <c r="I54" s="24" t="str">
        <f t="shared" si="30"/>
        <v/>
      </c>
      <c r="J54" s="22"/>
      <c r="K54" s="22"/>
      <c r="L54" s="23">
        <f t="shared" si="31"/>
        <v>0</v>
      </c>
      <c r="M54" s="24" t="str">
        <f t="shared" si="32"/>
        <v/>
      </c>
      <c r="N54" s="22"/>
      <c r="O54" s="22"/>
      <c r="P54" s="23">
        <f t="shared" si="33"/>
        <v>0</v>
      </c>
      <c r="Q54" s="24" t="str">
        <f t="shared" si="34"/>
        <v/>
      </c>
      <c r="R54" s="22"/>
      <c r="S54" s="22"/>
      <c r="T54" s="23">
        <f t="shared" si="35"/>
        <v>0</v>
      </c>
      <c r="U54" s="24" t="str">
        <f t="shared" si="36"/>
        <v/>
      </c>
      <c r="V54" s="22"/>
      <c r="W54" s="22"/>
      <c r="X54" s="23">
        <f t="shared" si="37"/>
        <v>0</v>
      </c>
      <c r="Y54" s="24" t="str">
        <f t="shared" si="38"/>
        <v/>
      </c>
      <c r="Z54" s="22"/>
      <c r="AA54" s="22"/>
      <c r="AB54" s="23">
        <f t="shared" si="39"/>
        <v>0</v>
      </c>
      <c r="AC54" s="24" t="str">
        <f t="shared" si="40"/>
        <v/>
      </c>
      <c r="AD54" s="22"/>
      <c r="AE54" s="22"/>
      <c r="AF54" s="23">
        <f t="shared" si="41"/>
        <v>0</v>
      </c>
      <c r="AG54" s="24" t="str">
        <f t="shared" si="42"/>
        <v/>
      </c>
      <c r="AH54" s="22"/>
      <c r="AI54" s="22"/>
      <c r="AJ54" s="23">
        <f t="shared" si="43"/>
        <v>0</v>
      </c>
      <c r="AK54" s="24" t="str">
        <f t="shared" si="44"/>
        <v/>
      </c>
      <c r="AL54" s="22"/>
      <c r="AM54" s="22"/>
      <c r="AN54" s="23">
        <f t="shared" si="45"/>
        <v>0</v>
      </c>
      <c r="AO54" s="24" t="str">
        <f t="shared" si="46"/>
        <v/>
      </c>
      <c r="AP54" s="22"/>
      <c r="AQ54" s="22"/>
      <c r="AR54" s="23">
        <f t="shared" si="47"/>
        <v>0</v>
      </c>
      <c r="AS54" s="24" t="str">
        <f t="shared" si="48"/>
        <v/>
      </c>
      <c r="AT54" s="22"/>
      <c r="AU54" s="22"/>
      <c r="AV54" s="23">
        <f t="shared" si="49"/>
        <v>0</v>
      </c>
      <c r="AW54" s="24" t="str">
        <f t="shared" si="50"/>
        <v/>
      </c>
      <c r="AX54" s="23">
        <f t="shared" si="54"/>
        <v>0</v>
      </c>
      <c r="AY54" s="23">
        <f t="shared" si="54"/>
        <v>0</v>
      </c>
      <c r="AZ54" s="23">
        <f t="shared" si="52"/>
        <v>0</v>
      </c>
      <c r="BA54" s="24" t="str">
        <f t="shared" si="53"/>
        <v/>
      </c>
    </row>
    <row r="55" spans="1:53" x14ac:dyDescent="0.3">
      <c r="A55" s="21" t="s">
        <v>88</v>
      </c>
      <c r="B55" s="23">
        <f>8563.17</f>
        <v>8563.17</v>
      </c>
      <c r="C55" s="22"/>
      <c r="D55" s="23">
        <f t="shared" si="27"/>
        <v>8563.17</v>
      </c>
      <c r="E55" s="24" t="str">
        <f t="shared" si="28"/>
        <v/>
      </c>
      <c r="F55" s="23">
        <f>896.96</f>
        <v>896.96</v>
      </c>
      <c r="G55" s="22"/>
      <c r="H55" s="23">
        <f t="shared" si="29"/>
        <v>896.96</v>
      </c>
      <c r="I55" s="24" t="str">
        <f t="shared" si="30"/>
        <v/>
      </c>
      <c r="J55" s="22"/>
      <c r="K55" s="22"/>
      <c r="L55" s="23">
        <f t="shared" si="31"/>
        <v>0</v>
      </c>
      <c r="M55" s="24" t="str">
        <f t="shared" si="32"/>
        <v/>
      </c>
      <c r="N55" s="22"/>
      <c r="O55" s="22"/>
      <c r="P55" s="23">
        <f t="shared" si="33"/>
        <v>0</v>
      </c>
      <c r="Q55" s="24" t="str">
        <f t="shared" si="34"/>
        <v/>
      </c>
      <c r="R55" s="22"/>
      <c r="S55" s="22"/>
      <c r="T55" s="23">
        <f t="shared" si="35"/>
        <v>0</v>
      </c>
      <c r="U55" s="24" t="str">
        <f t="shared" si="36"/>
        <v/>
      </c>
      <c r="V55" s="22"/>
      <c r="W55" s="22"/>
      <c r="X55" s="23">
        <f t="shared" si="37"/>
        <v>0</v>
      </c>
      <c r="Y55" s="24" t="str">
        <f t="shared" si="38"/>
        <v/>
      </c>
      <c r="Z55" s="22"/>
      <c r="AA55" s="22"/>
      <c r="AB55" s="23">
        <f t="shared" si="39"/>
        <v>0</v>
      </c>
      <c r="AC55" s="24" t="str">
        <f t="shared" si="40"/>
        <v/>
      </c>
      <c r="AD55" s="22"/>
      <c r="AE55" s="22"/>
      <c r="AF55" s="23">
        <f t="shared" si="41"/>
        <v>0</v>
      </c>
      <c r="AG55" s="24" t="str">
        <f t="shared" si="42"/>
        <v/>
      </c>
      <c r="AH55" s="22"/>
      <c r="AI55" s="22"/>
      <c r="AJ55" s="23">
        <f t="shared" si="43"/>
        <v>0</v>
      </c>
      <c r="AK55" s="24" t="str">
        <f t="shared" si="44"/>
        <v/>
      </c>
      <c r="AL55" s="23">
        <f>407.99</f>
        <v>407.99</v>
      </c>
      <c r="AM55" s="22"/>
      <c r="AN55" s="23">
        <f t="shared" si="45"/>
        <v>407.99</v>
      </c>
      <c r="AO55" s="24" t="str">
        <f t="shared" si="46"/>
        <v/>
      </c>
      <c r="AP55" s="23">
        <f>-2000</f>
        <v>-2000</v>
      </c>
      <c r="AQ55" s="22"/>
      <c r="AR55" s="23">
        <f t="shared" si="47"/>
        <v>-2000</v>
      </c>
      <c r="AS55" s="24" t="str">
        <f t="shared" si="48"/>
        <v/>
      </c>
      <c r="AT55" s="22"/>
      <c r="AU55" s="22"/>
      <c r="AV55" s="23">
        <f t="shared" si="49"/>
        <v>0</v>
      </c>
      <c r="AW55" s="24" t="str">
        <f t="shared" si="50"/>
        <v/>
      </c>
      <c r="AX55" s="23">
        <f t="shared" si="54"/>
        <v>7868.1200000000008</v>
      </c>
      <c r="AY55" s="23">
        <f t="shared" si="54"/>
        <v>0</v>
      </c>
      <c r="AZ55" s="23">
        <f t="shared" si="52"/>
        <v>7868.1200000000008</v>
      </c>
      <c r="BA55" s="24" t="str">
        <f t="shared" si="53"/>
        <v/>
      </c>
    </row>
    <row r="56" spans="1:53" x14ac:dyDescent="0.3">
      <c r="A56" s="21" t="s">
        <v>134</v>
      </c>
      <c r="B56" s="22"/>
      <c r="C56" s="22"/>
      <c r="D56" s="23">
        <f t="shared" si="27"/>
        <v>0</v>
      </c>
      <c r="E56" s="24" t="str">
        <f t="shared" si="28"/>
        <v/>
      </c>
      <c r="F56" s="22"/>
      <c r="G56" s="22"/>
      <c r="H56" s="23">
        <f t="shared" si="29"/>
        <v>0</v>
      </c>
      <c r="I56" s="24" t="str">
        <f t="shared" si="30"/>
        <v/>
      </c>
      <c r="J56" s="22"/>
      <c r="K56" s="22"/>
      <c r="L56" s="23">
        <f t="shared" si="31"/>
        <v>0</v>
      </c>
      <c r="M56" s="24" t="str">
        <f t="shared" si="32"/>
        <v/>
      </c>
      <c r="N56" s="22"/>
      <c r="O56" s="22"/>
      <c r="P56" s="23">
        <f t="shared" si="33"/>
        <v>0</v>
      </c>
      <c r="Q56" s="24" t="str">
        <f t="shared" si="34"/>
        <v/>
      </c>
      <c r="R56" s="22"/>
      <c r="S56" s="22"/>
      <c r="T56" s="23">
        <f t="shared" si="35"/>
        <v>0</v>
      </c>
      <c r="U56" s="24" t="str">
        <f t="shared" si="36"/>
        <v/>
      </c>
      <c r="V56" s="22"/>
      <c r="W56" s="22"/>
      <c r="X56" s="23">
        <f t="shared" si="37"/>
        <v>0</v>
      </c>
      <c r="Y56" s="24" t="str">
        <f t="shared" si="38"/>
        <v/>
      </c>
      <c r="Z56" s="22"/>
      <c r="AA56" s="22"/>
      <c r="AB56" s="23">
        <f t="shared" si="39"/>
        <v>0</v>
      </c>
      <c r="AC56" s="24" t="str">
        <f t="shared" si="40"/>
        <v/>
      </c>
      <c r="AD56" s="22"/>
      <c r="AE56" s="22"/>
      <c r="AF56" s="23">
        <f t="shared" si="41"/>
        <v>0</v>
      </c>
      <c r="AG56" s="24" t="str">
        <f t="shared" si="42"/>
        <v/>
      </c>
      <c r="AH56" s="23">
        <f>3500</f>
        <v>3500</v>
      </c>
      <c r="AI56" s="22"/>
      <c r="AJ56" s="23">
        <f t="shared" si="43"/>
        <v>3500</v>
      </c>
      <c r="AK56" s="24" t="str">
        <f t="shared" si="44"/>
        <v/>
      </c>
      <c r="AL56" s="23">
        <f>-2973</f>
        <v>-2973</v>
      </c>
      <c r="AM56" s="22"/>
      <c r="AN56" s="23">
        <f t="shared" si="45"/>
        <v>-2973</v>
      </c>
      <c r="AO56" s="24" t="str">
        <f t="shared" si="46"/>
        <v/>
      </c>
      <c r="AP56" s="23">
        <f>-2000</f>
        <v>-2000</v>
      </c>
      <c r="AQ56" s="22"/>
      <c r="AR56" s="23">
        <f t="shared" si="47"/>
        <v>-2000</v>
      </c>
      <c r="AS56" s="24" t="str">
        <f t="shared" si="48"/>
        <v/>
      </c>
      <c r="AT56" s="22"/>
      <c r="AU56" s="22"/>
      <c r="AV56" s="23">
        <f t="shared" si="49"/>
        <v>0</v>
      </c>
      <c r="AW56" s="24" t="str">
        <f t="shared" si="50"/>
        <v/>
      </c>
      <c r="AX56" s="23">
        <f t="shared" si="54"/>
        <v>-1473</v>
      </c>
      <c r="AY56" s="23">
        <f t="shared" si="54"/>
        <v>0</v>
      </c>
      <c r="AZ56" s="23">
        <f t="shared" si="52"/>
        <v>-1473</v>
      </c>
      <c r="BA56" s="24" t="str">
        <f t="shared" si="53"/>
        <v/>
      </c>
    </row>
    <row r="57" spans="1:53" x14ac:dyDescent="0.3">
      <c r="A57" s="21" t="s">
        <v>89</v>
      </c>
      <c r="B57" s="22"/>
      <c r="C57" s="22"/>
      <c r="D57" s="23">
        <f t="shared" si="27"/>
        <v>0</v>
      </c>
      <c r="E57" s="24" t="str">
        <f t="shared" si="28"/>
        <v/>
      </c>
      <c r="F57" s="22"/>
      <c r="G57" s="22"/>
      <c r="H57" s="23">
        <f t="shared" si="29"/>
        <v>0</v>
      </c>
      <c r="I57" s="24" t="str">
        <f t="shared" si="30"/>
        <v/>
      </c>
      <c r="J57" s="22"/>
      <c r="K57" s="22"/>
      <c r="L57" s="23">
        <f t="shared" si="31"/>
        <v>0</v>
      </c>
      <c r="M57" s="24" t="str">
        <f t="shared" si="32"/>
        <v/>
      </c>
      <c r="N57" s="22"/>
      <c r="O57" s="22"/>
      <c r="P57" s="23">
        <f t="shared" si="33"/>
        <v>0</v>
      </c>
      <c r="Q57" s="24" t="str">
        <f t="shared" si="34"/>
        <v/>
      </c>
      <c r="R57" s="23">
        <f>208.79</f>
        <v>208.79</v>
      </c>
      <c r="S57" s="22"/>
      <c r="T57" s="23">
        <f t="shared" si="35"/>
        <v>208.79</v>
      </c>
      <c r="U57" s="24" t="str">
        <f t="shared" si="36"/>
        <v/>
      </c>
      <c r="V57" s="22"/>
      <c r="W57" s="22"/>
      <c r="X57" s="23">
        <f t="shared" si="37"/>
        <v>0</v>
      </c>
      <c r="Y57" s="24" t="str">
        <f t="shared" si="38"/>
        <v/>
      </c>
      <c r="Z57" s="22"/>
      <c r="AA57" s="22"/>
      <c r="AB57" s="23">
        <f t="shared" si="39"/>
        <v>0</v>
      </c>
      <c r="AC57" s="24" t="str">
        <f t="shared" si="40"/>
        <v/>
      </c>
      <c r="AD57" s="22"/>
      <c r="AE57" s="22"/>
      <c r="AF57" s="23">
        <f t="shared" si="41"/>
        <v>0</v>
      </c>
      <c r="AG57" s="24" t="str">
        <f t="shared" si="42"/>
        <v/>
      </c>
      <c r="AH57" s="22"/>
      <c r="AI57" s="22"/>
      <c r="AJ57" s="23">
        <f t="shared" si="43"/>
        <v>0</v>
      </c>
      <c r="AK57" s="24" t="str">
        <f t="shared" si="44"/>
        <v/>
      </c>
      <c r="AL57" s="23">
        <f>-0.1</f>
        <v>-0.1</v>
      </c>
      <c r="AM57" s="22"/>
      <c r="AN57" s="23">
        <f t="shared" si="45"/>
        <v>-0.1</v>
      </c>
      <c r="AO57" s="24" t="str">
        <f t="shared" si="46"/>
        <v/>
      </c>
      <c r="AP57" s="22"/>
      <c r="AQ57" s="22"/>
      <c r="AR57" s="23">
        <f t="shared" si="47"/>
        <v>0</v>
      </c>
      <c r="AS57" s="24" t="str">
        <f t="shared" si="48"/>
        <v/>
      </c>
      <c r="AT57" s="23">
        <f>20</f>
        <v>20</v>
      </c>
      <c r="AU57" s="22"/>
      <c r="AV57" s="23">
        <f t="shared" si="49"/>
        <v>20</v>
      </c>
      <c r="AW57" s="24" t="str">
        <f t="shared" si="50"/>
        <v/>
      </c>
      <c r="AX57" s="23">
        <f t="shared" si="54"/>
        <v>228.69</v>
      </c>
      <c r="AY57" s="23">
        <f t="shared" si="54"/>
        <v>0</v>
      </c>
      <c r="AZ57" s="23">
        <f t="shared" si="52"/>
        <v>228.69</v>
      </c>
      <c r="BA57" s="24" t="str">
        <f t="shared" si="53"/>
        <v/>
      </c>
    </row>
    <row r="58" spans="1:53" x14ac:dyDescent="0.3">
      <c r="A58" s="21" t="s">
        <v>135</v>
      </c>
      <c r="B58" s="25">
        <f>(((B54)+(B55))+(B56))+(B57)</f>
        <v>8563.17</v>
      </c>
      <c r="C58" s="25">
        <f>(((C54)+(C55))+(C56))+(C57)</f>
        <v>0</v>
      </c>
      <c r="D58" s="25">
        <f t="shared" si="27"/>
        <v>8563.17</v>
      </c>
      <c r="E58" s="26" t="str">
        <f t="shared" si="28"/>
        <v/>
      </c>
      <c r="F58" s="25">
        <f>(((F54)+(F55))+(F56))+(F57)</f>
        <v>896.96</v>
      </c>
      <c r="G58" s="25">
        <f>(((G54)+(G55))+(G56))+(G57)</f>
        <v>0</v>
      </c>
      <c r="H58" s="25">
        <f t="shared" si="29"/>
        <v>896.96</v>
      </c>
      <c r="I58" s="26" t="str">
        <f t="shared" si="30"/>
        <v/>
      </c>
      <c r="J58" s="25">
        <f>(((J54)+(J55))+(J56))+(J57)</f>
        <v>0</v>
      </c>
      <c r="K58" s="25">
        <f>(((K54)+(K55))+(K56))+(K57)</f>
        <v>0</v>
      </c>
      <c r="L58" s="25">
        <f t="shared" si="31"/>
        <v>0</v>
      </c>
      <c r="M58" s="26" t="str">
        <f t="shared" si="32"/>
        <v/>
      </c>
      <c r="N58" s="25">
        <f>(((N54)+(N55))+(N56))+(N57)</f>
        <v>0</v>
      </c>
      <c r="O58" s="25">
        <f>(((O54)+(O55))+(O56))+(O57)</f>
        <v>0</v>
      </c>
      <c r="P58" s="25">
        <f t="shared" si="33"/>
        <v>0</v>
      </c>
      <c r="Q58" s="26" t="str">
        <f t="shared" si="34"/>
        <v/>
      </c>
      <c r="R58" s="25">
        <f>(((R54)+(R55))+(R56))+(R57)</f>
        <v>208.79</v>
      </c>
      <c r="S58" s="25">
        <f>(((S54)+(S55))+(S56))+(S57)</f>
        <v>0</v>
      </c>
      <c r="T58" s="25">
        <f t="shared" si="35"/>
        <v>208.79</v>
      </c>
      <c r="U58" s="26" t="str">
        <f t="shared" si="36"/>
        <v/>
      </c>
      <c r="V58" s="25">
        <f>(((V54)+(V55))+(V56))+(V57)</f>
        <v>0</v>
      </c>
      <c r="W58" s="25">
        <f>(((W54)+(W55))+(W56))+(W57)</f>
        <v>0</v>
      </c>
      <c r="X58" s="25">
        <f t="shared" si="37"/>
        <v>0</v>
      </c>
      <c r="Y58" s="26" t="str">
        <f t="shared" si="38"/>
        <v/>
      </c>
      <c r="Z58" s="25">
        <f>(((Z54)+(Z55))+(Z56))+(Z57)</f>
        <v>0</v>
      </c>
      <c r="AA58" s="25">
        <f>(((AA54)+(AA55))+(AA56))+(AA57)</f>
        <v>0</v>
      </c>
      <c r="AB58" s="25">
        <f t="shared" si="39"/>
        <v>0</v>
      </c>
      <c r="AC58" s="26" t="str">
        <f t="shared" si="40"/>
        <v/>
      </c>
      <c r="AD58" s="25">
        <f>(((AD54)+(AD55))+(AD56))+(AD57)</f>
        <v>0</v>
      </c>
      <c r="AE58" s="25">
        <f>(((AE54)+(AE55))+(AE56))+(AE57)</f>
        <v>0</v>
      </c>
      <c r="AF58" s="25">
        <f t="shared" si="41"/>
        <v>0</v>
      </c>
      <c r="AG58" s="26" t="str">
        <f t="shared" si="42"/>
        <v/>
      </c>
      <c r="AH58" s="25">
        <f>(((AH54)+(AH55))+(AH56))+(AH57)</f>
        <v>3500</v>
      </c>
      <c r="AI58" s="25">
        <f>(((AI54)+(AI55))+(AI56))+(AI57)</f>
        <v>0</v>
      </c>
      <c r="AJ58" s="25">
        <f t="shared" si="43"/>
        <v>3500</v>
      </c>
      <c r="AK58" s="26" t="str">
        <f t="shared" si="44"/>
        <v/>
      </c>
      <c r="AL58" s="25">
        <f>(((AL54)+(AL55))+(AL56))+(AL57)</f>
        <v>-2565.11</v>
      </c>
      <c r="AM58" s="25">
        <f>(((AM54)+(AM55))+(AM56))+(AM57)</f>
        <v>0</v>
      </c>
      <c r="AN58" s="25">
        <f t="shared" si="45"/>
        <v>-2565.11</v>
      </c>
      <c r="AO58" s="26" t="str">
        <f t="shared" si="46"/>
        <v/>
      </c>
      <c r="AP58" s="25">
        <f>(((AP54)+(AP55))+(AP56))+(AP57)</f>
        <v>-4000</v>
      </c>
      <c r="AQ58" s="25">
        <f>(((AQ54)+(AQ55))+(AQ56))+(AQ57)</f>
        <v>0</v>
      </c>
      <c r="AR58" s="25">
        <f t="shared" si="47"/>
        <v>-4000</v>
      </c>
      <c r="AS58" s="26" t="str">
        <f t="shared" si="48"/>
        <v/>
      </c>
      <c r="AT58" s="25">
        <f>(((AT54)+(AT55))+(AT56))+(AT57)</f>
        <v>20</v>
      </c>
      <c r="AU58" s="25">
        <f>(((AU54)+(AU55))+(AU56))+(AU57)</f>
        <v>0</v>
      </c>
      <c r="AV58" s="25">
        <f t="shared" si="49"/>
        <v>20</v>
      </c>
      <c r="AW58" s="26" t="str">
        <f t="shared" si="50"/>
        <v/>
      </c>
      <c r="AX58" s="25">
        <f t="shared" si="54"/>
        <v>6623.8100000000013</v>
      </c>
      <c r="AY58" s="25">
        <f t="shared" si="54"/>
        <v>0</v>
      </c>
      <c r="AZ58" s="25">
        <f t="shared" si="52"/>
        <v>6623.8100000000013</v>
      </c>
      <c r="BA58" s="26" t="str">
        <f t="shared" si="53"/>
        <v/>
      </c>
    </row>
    <row r="59" spans="1:53" x14ac:dyDescent="0.3">
      <c r="A59" s="21" t="s">
        <v>136</v>
      </c>
      <c r="B59" s="23">
        <f>203.85</f>
        <v>203.85</v>
      </c>
      <c r="C59" s="22"/>
      <c r="D59" s="23">
        <f t="shared" si="27"/>
        <v>203.85</v>
      </c>
      <c r="E59" s="24" t="str">
        <f t="shared" si="28"/>
        <v/>
      </c>
      <c r="F59" s="23">
        <f>77.73</f>
        <v>77.73</v>
      </c>
      <c r="G59" s="22"/>
      <c r="H59" s="23">
        <f t="shared" si="29"/>
        <v>77.73</v>
      </c>
      <c r="I59" s="24" t="str">
        <f t="shared" si="30"/>
        <v/>
      </c>
      <c r="J59" s="23">
        <f>13.98</f>
        <v>13.98</v>
      </c>
      <c r="K59" s="22"/>
      <c r="L59" s="23">
        <f t="shared" si="31"/>
        <v>13.98</v>
      </c>
      <c r="M59" s="24" t="str">
        <f t="shared" si="32"/>
        <v/>
      </c>
      <c r="N59" s="23">
        <f>154.95</f>
        <v>154.94999999999999</v>
      </c>
      <c r="O59" s="22"/>
      <c r="P59" s="23">
        <f t="shared" si="33"/>
        <v>154.94999999999999</v>
      </c>
      <c r="Q59" s="24" t="str">
        <f t="shared" si="34"/>
        <v/>
      </c>
      <c r="R59" s="23">
        <f>254.41</f>
        <v>254.41</v>
      </c>
      <c r="S59" s="22"/>
      <c r="T59" s="23">
        <f t="shared" si="35"/>
        <v>254.41</v>
      </c>
      <c r="U59" s="24" t="str">
        <f t="shared" si="36"/>
        <v/>
      </c>
      <c r="V59" s="23">
        <f>72.89</f>
        <v>72.89</v>
      </c>
      <c r="W59" s="22"/>
      <c r="X59" s="23">
        <f t="shared" si="37"/>
        <v>72.89</v>
      </c>
      <c r="Y59" s="24" t="str">
        <f t="shared" si="38"/>
        <v/>
      </c>
      <c r="Z59" s="23">
        <f>45.05</f>
        <v>45.05</v>
      </c>
      <c r="AA59" s="22"/>
      <c r="AB59" s="23">
        <f t="shared" si="39"/>
        <v>45.05</v>
      </c>
      <c r="AC59" s="24" t="str">
        <f t="shared" si="40"/>
        <v/>
      </c>
      <c r="AD59" s="22"/>
      <c r="AE59" s="22"/>
      <c r="AF59" s="23">
        <f t="shared" si="41"/>
        <v>0</v>
      </c>
      <c r="AG59" s="24" t="str">
        <f t="shared" si="42"/>
        <v/>
      </c>
      <c r="AH59" s="23">
        <f>82.59</f>
        <v>82.59</v>
      </c>
      <c r="AI59" s="22"/>
      <c r="AJ59" s="23">
        <f t="shared" si="43"/>
        <v>82.59</v>
      </c>
      <c r="AK59" s="24" t="str">
        <f t="shared" si="44"/>
        <v/>
      </c>
      <c r="AL59" s="23">
        <f>54.99</f>
        <v>54.99</v>
      </c>
      <c r="AM59" s="22"/>
      <c r="AN59" s="23">
        <f t="shared" si="45"/>
        <v>54.99</v>
      </c>
      <c r="AO59" s="24" t="str">
        <f t="shared" si="46"/>
        <v/>
      </c>
      <c r="AP59" s="22"/>
      <c r="AQ59" s="22"/>
      <c r="AR59" s="23">
        <f t="shared" si="47"/>
        <v>0</v>
      </c>
      <c r="AS59" s="24" t="str">
        <f t="shared" si="48"/>
        <v/>
      </c>
      <c r="AT59" s="23">
        <f>182.7</f>
        <v>182.7</v>
      </c>
      <c r="AU59" s="22"/>
      <c r="AV59" s="23">
        <f t="shared" si="49"/>
        <v>182.7</v>
      </c>
      <c r="AW59" s="24" t="str">
        <f t="shared" si="50"/>
        <v/>
      </c>
      <c r="AX59" s="23">
        <f t="shared" si="54"/>
        <v>1143.1399999999999</v>
      </c>
      <c r="AY59" s="23">
        <f t="shared" si="54"/>
        <v>0</v>
      </c>
      <c r="AZ59" s="23">
        <f t="shared" si="52"/>
        <v>1143.1399999999999</v>
      </c>
      <c r="BA59" s="24" t="str">
        <f t="shared" si="53"/>
        <v/>
      </c>
    </row>
    <row r="60" spans="1:53" x14ac:dyDescent="0.3">
      <c r="A60" s="21" t="s">
        <v>137</v>
      </c>
      <c r="B60" s="22"/>
      <c r="C60" s="22"/>
      <c r="D60" s="23">
        <f t="shared" si="27"/>
        <v>0</v>
      </c>
      <c r="E60" s="24" t="str">
        <f t="shared" si="28"/>
        <v/>
      </c>
      <c r="F60" s="23">
        <f>28</f>
        <v>28</v>
      </c>
      <c r="G60" s="22"/>
      <c r="H60" s="23">
        <f t="shared" si="29"/>
        <v>28</v>
      </c>
      <c r="I60" s="24" t="str">
        <f t="shared" si="30"/>
        <v/>
      </c>
      <c r="J60" s="23">
        <f>10</f>
        <v>10</v>
      </c>
      <c r="K60" s="22"/>
      <c r="L60" s="23">
        <f t="shared" si="31"/>
        <v>10</v>
      </c>
      <c r="M60" s="24" t="str">
        <f t="shared" si="32"/>
        <v/>
      </c>
      <c r="N60" s="23">
        <f>17</f>
        <v>17</v>
      </c>
      <c r="O60" s="22"/>
      <c r="P60" s="23">
        <f t="shared" si="33"/>
        <v>17</v>
      </c>
      <c r="Q60" s="24" t="str">
        <f t="shared" si="34"/>
        <v/>
      </c>
      <c r="R60" s="22"/>
      <c r="S60" s="22"/>
      <c r="T60" s="23">
        <f t="shared" si="35"/>
        <v>0</v>
      </c>
      <c r="U60" s="24" t="str">
        <f t="shared" si="36"/>
        <v/>
      </c>
      <c r="V60" s="22"/>
      <c r="W60" s="22"/>
      <c r="X60" s="23">
        <f t="shared" si="37"/>
        <v>0</v>
      </c>
      <c r="Y60" s="24" t="str">
        <f t="shared" si="38"/>
        <v/>
      </c>
      <c r="Z60" s="23">
        <f>9.34</f>
        <v>9.34</v>
      </c>
      <c r="AA60" s="22"/>
      <c r="AB60" s="23">
        <f t="shared" si="39"/>
        <v>9.34</v>
      </c>
      <c r="AC60" s="24" t="str">
        <f t="shared" si="40"/>
        <v/>
      </c>
      <c r="AD60" s="23">
        <f>19.57</f>
        <v>19.57</v>
      </c>
      <c r="AE60" s="22"/>
      <c r="AF60" s="23">
        <f t="shared" si="41"/>
        <v>19.57</v>
      </c>
      <c r="AG60" s="24" t="str">
        <f t="shared" si="42"/>
        <v/>
      </c>
      <c r="AH60" s="22"/>
      <c r="AI60" s="22"/>
      <c r="AJ60" s="23">
        <f t="shared" si="43"/>
        <v>0</v>
      </c>
      <c r="AK60" s="24" t="str">
        <f t="shared" si="44"/>
        <v/>
      </c>
      <c r="AL60" s="23">
        <f>15</f>
        <v>15</v>
      </c>
      <c r="AM60" s="22"/>
      <c r="AN60" s="23">
        <f t="shared" si="45"/>
        <v>15</v>
      </c>
      <c r="AO60" s="24" t="str">
        <f t="shared" si="46"/>
        <v/>
      </c>
      <c r="AP60" s="23">
        <f>29.95</f>
        <v>29.95</v>
      </c>
      <c r="AQ60" s="22"/>
      <c r="AR60" s="23">
        <f t="shared" si="47"/>
        <v>29.95</v>
      </c>
      <c r="AS60" s="24" t="str">
        <f t="shared" si="48"/>
        <v/>
      </c>
      <c r="AT60" s="22"/>
      <c r="AU60" s="22"/>
      <c r="AV60" s="23">
        <f t="shared" si="49"/>
        <v>0</v>
      </c>
      <c r="AW60" s="24" t="str">
        <f t="shared" si="50"/>
        <v/>
      </c>
      <c r="AX60" s="23">
        <f t="shared" si="54"/>
        <v>128.85999999999999</v>
      </c>
      <c r="AY60" s="23">
        <f t="shared" si="54"/>
        <v>0</v>
      </c>
      <c r="AZ60" s="23">
        <f t="shared" si="52"/>
        <v>128.85999999999999</v>
      </c>
      <c r="BA60" s="24" t="str">
        <f t="shared" si="53"/>
        <v/>
      </c>
    </row>
    <row r="61" spans="1:53" x14ac:dyDescent="0.3">
      <c r="A61" s="21" t="s">
        <v>138</v>
      </c>
      <c r="B61" s="22"/>
      <c r="C61" s="22"/>
      <c r="D61" s="23">
        <f t="shared" si="27"/>
        <v>0</v>
      </c>
      <c r="E61" s="24" t="str">
        <f t="shared" si="28"/>
        <v/>
      </c>
      <c r="F61" s="22"/>
      <c r="G61" s="22"/>
      <c r="H61" s="23">
        <f t="shared" si="29"/>
        <v>0</v>
      </c>
      <c r="I61" s="24" t="str">
        <f t="shared" si="30"/>
        <v/>
      </c>
      <c r="J61" s="22"/>
      <c r="K61" s="22"/>
      <c r="L61" s="23">
        <f t="shared" si="31"/>
        <v>0</v>
      </c>
      <c r="M61" s="24" t="str">
        <f t="shared" si="32"/>
        <v/>
      </c>
      <c r="N61" s="22"/>
      <c r="O61" s="22"/>
      <c r="P61" s="23">
        <f t="shared" si="33"/>
        <v>0</v>
      </c>
      <c r="Q61" s="24" t="str">
        <f t="shared" si="34"/>
        <v/>
      </c>
      <c r="R61" s="22"/>
      <c r="S61" s="22"/>
      <c r="T61" s="23">
        <f t="shared" si="35"/>
        <v>0</v>
      </c>
      <c r="U61" s="24" t="str">
        <f t="shared" si="36"/>
        <v/>
      </c>
      <c r="V61" s="22"/>
      <c r="W61" s="22"/>
      <c r="X61" s="23">
        <f t="shared" si="37"/>
        <v>0</v>
      </c>
      <c r="Y61" s="24" t="str">
        <f t="shared" si="38"/>
        <v/>
      </c>
      <c r="Z61" s="22"/>
      <c r="AA61" s="22"/>
      <c r="AB61" s="23">
        <f t="shared" si="39"/>
        <v>0</v>
      </c>
      <c r="AC61" s="24" t="str">
        <f t="shared" si="40"/>
        <v/>
      </c>
      <c r="AD61" s="22"/>
      <c r="AE61" s="22"/>
      <c r="AF61" s="23">
        <f t="shared" si="41"/>
        <v>0</v>
      </c>
      <c r="AG61" s="24" t="str">
        <f t="shared" si="42"/>
        <v/>
      </c>
      <c r="AH61" s="22"/>
      <c r="AI61" s="22"/>
      <c r="AJ61" s="23">
        <f t="shared" si="43"/>
        <v>0</v>
      </c>
      <c r="AK61" s="24" t="str">
        <f t="shared" si="44"/>
        <v/>
      </c>
      <c r="AL61" s="22"/>
      <c r="AM61" s="22"/>
      <c r="AN61" s="23">
        <f t="shared" si="45"/>
        <v>0</v>
      </c>
      <c r="AO61" s="24" t="str">
        <f t="shared" si="46"/>
        <v/>
      </c>
      <c r="AP61" s="22"/>
      <c r="AQ61" s="22"/>
      <c r="AR61" s="23">
        <f t="shared" si="47"/>
        <v>0</v>
      </c>
      <c r="AS61" s="24" t="str">
        <f t="shared" si="48"/>
        <v/>
      </c>
      <c r="AT61" s="22"/>
      <c r="AU61" s="22"/>
      <c r="AV61" s="23">
        <f t="shared" si="49"/>
        <v>0</v>
      </c>
      <c r="AW61" s="24" t="str">
        <f t="shared" si="50"/>
        <v/>
      </c>
      <c r="AX61" s="23">
        <f t="shared" si="54"/>
        <v>0</v>
      </c>
      <c r="AY61" s="23">
        <f t="shared" si="54"/>
        <v>0</v>
      </c>
      <c r="AZ61" s="23">
        <f t="shared" si="52"/>
        <v>0</v>
      </c>
      <c r="BA61" s="24" t="str">
        <f t="shared" si="53"/>
        <v/>
      </c>
    </row>
    <row r="62" spans="1:53" x14ac:dyDescent="0.3">
      <c r="A62" s="21" t="s">
        <v>139</v>
      </c>
      <c r="B62" s="22"/>
      <c r="C62" s="22"/>
      <c r="D62" s="23">
        <f t="shared" si="27"/>
        <v>0</v>
      </c>
      <c r="E62" s="24" t="str">
        <f t="shared" si="28"/>
        <v/>
      </c>
      <c r="F62" s="22"/>
      <c r="G62" s="22"/>
      <c r="H62" s="23">
        <f t="shared" si="29"/>
        <v>0</v>
      </c>
      <c r="I62" s="24" t="str">
        <f t="shared" si="30"/>
        <v/>
      </c>
      <c r="J62" s="22"/>
      <c r="K62" s="22"/>
      <c r="L62" s="23">
        <f t="shared" si="31"/>
        <v>0</v>
      </c>
      <c r="M62" s="24" t="str">
        <f t="shared" si="32"/>
        <v/>
      </c>
      <c r="N62" s="22"/>
      <c r="O62" s="22"/>
      <c r="P62" s="23">
        <f t="shared" si="33"/>
        <v>0</v>
      </c>
      <c r="Q62" s="24" t="str">
        <f t="shared" si="34"/>
        <v/>
      </c>
      <c r="R62" s="22"/>
      <c r="S62" s="22"/>
      <c r="T62" s="23">
        <f t="shared" si="35"/>
        <v>0</v>
      </c>
      <c r="U62" s="24" t="str">
        <f t="shared" si="36"/>
        <v/>
      </c>
      <c r="V62" s="22"/>
      <c r="W62" s="22"/>
      <c r="X62" s="23">
        <f t="shared" si="37"/>
        <v>0</v>
      </c>
      <c r="Y62" s="24" t="str">
        <f t="shared" si="38"/>
        <v/>
      </c>
      <c r="Z62" s="22"/>
      <c r="AA62" s="22"/>
      <c r="AB62" s="23">
        <f t="shared" si="39"/>
        <v>0</v>
      </c>
      <c r="AC62" s="24" t="str">
        <f t="shared" si="40"/>
        <v/>
      </c>
      <c r="AD62" s="22"/>
      <c r="AE62" s="22"/>
      <c r="AF62" s="23">
        <f t="shared" si="41"/>
        <v>0</v>
      </c>
      <c r="AG62" s="24" t="str">
        <f t="shared" si="42"/>
        <v/>
      </c>
      <c r="AH62" s="23">
        <f>700</f>
        <v>700</v>
      </c>
      <c r="AI62" s="22"/>
      <c r="AJ62" s="23">
        <f t="shared" si="43"/>
        <v>700</v>
      </c>
      <c r="AK62" s="24" t="str">
        <f t="shared" si="44"/>
        <v/>
      </c>
      <c r="AL62" s="22"/>
      <c r="AM62" s="22"/>
      <c r="AN62" s="23">
        <f t="shared" si="45"/>
        <v>0</v>
      </c>
      <c r="AO62" s="24" t="str">
        <f t="shared" si="46"/>
        <v/>
      </c>
      <c r="AP62" s="22"/>
      <c r="AQ62" s="22"/>
      <c r="AR62" s="23">
        <f t="shared" si="47"/>
        <v>0</v>
      </c>
      <c r="AS62" s="24" t="str">
        <f t="shared" si="48"/>
        <v/>
      </c>
      <c r="AT62" s="22"/>
      <c r="AU62" s="22"/>
      <c r="AV62" s="23">
        <f t="shared" si="49"/>
        <v>0</v>
      </c>
      <c r="AW62" s="24" t="str">
        <f t="shared" si="50"/>
        <v/>
      </c>
      <c r="AX62" s="23">
        <f t="shared" si="54"/>
        <v>700</v>
      </c>
      <c r="AY62" s="23">
        <f t="shared" si="54"/>
        <v>0</v>
      </c>
      <c r="AZ62" s="23">
        <f t="shared" si="52"/>
        <v>700</v>
      </c>
      <c r="BA62" s="24" t="str">
        <f t="shared" si="53"/>
        <v/>
      </c>
    </row>
    <row r="63" spans="1:53" x14ac:dyDescent="0.3">
      <c r="A63" s="21" t="s">
        <v>140</v>
      </c>
      <c r="B63" s="22"/>
      <c r="C63" s="22"/>
      <c r="D63" s="23">
        <f t="shared" si="27"/>
        <v>0</v>
      </c>
      <c r="E63" s="24" t="str">
        <f t="shared" si="28"/>
        <v/>
      </c>
      <c r="F63" s="23">
        <f>1390</f>
        <v>1390</v>
      </c>
      <c r="G63" s="22"/>
      <c r="H63" s="23">
        <f t="shared" si="29"/>
        <v>1390</v>
      </c>
      <c r="I63" s="24" t="str">
        <f t="shared" si="30"/>
        <v/>
      </c>
      <c r="J63" s="23">
        <f>695</f>
        <v>695</v>
      </c>
      <c r="K63" s="22"/>
      <c r="L63" s="23">
        <f t="shared" si="31"/>
        <v>695</v>
      </c>
      <c r="M63" s="24" t="str">
        <f t="shared" si="32"/>
        <v/>
      </c>
      <c r="N63" s="22"/>
      <c r="O63" s="22"/>
      <c r="P63" s="23">
        <f t="shared" si="33"/>
        <v>0</v>
      </c>
      <c r="Q63" s="24" t="str">
        <f t="shared" si="34"/>
        <v/>
      </c>
      <c r="R63" s="23">
        <f>1390</f>
        <v>1390</v>
      </c>
      <c r="S63" s="22"/>
      <c r="T63" s="23">
        <f t="shared" si="35"/>
        <v>1390</v>
      </c>
      <c r="U63" s="24" t="str">
        <f t="shared" si="36"/>
        <v/>
      </c>
      <c r="V63" s="23">
        <f>695</f>
        <v>695</v>
      </c>
      <c r="W63" s="22"/>
      <c r="X63" s="23">
        <f t="shared" si="37"/>
        <v>695</v>
      </c>
      <c r="Y63" s="24" t="str">
        <f t="shared" si="38"/>
        <v/>
      </c>
      <c r="Z63" s="22"/>
      <c r="AA63" s="22"/>
      <c r="AB63" s="23">
        <f t="shared" si="39"/>
        <v>0</v>
      </c>
      <c r="AC63" s="24" t="str">
        <f t="shared" si="40"/>
        <v/>
      </c>
      <c r="AD63" s="23">
        <f>695</f>
        <v>695</v>
      </c>
      <c r="AE63" s="22"/>
      <c r="AF63" s="23">
        <f t="shared" si="41"/>
        <v>695</v>
      </c>
      <c r="AG63" s="24" t="str">
        <f t="shared" si="42"/>
        <v/>
      </c>
      <c r="AH63" s="23">
        <f>695</f>
        <v>695</v>
      </c>
      <c r="AI63" s="22"/>
      <c r="AJ63" s="23">
        <f t="shared" si="43"/>
        <v>695</v>
      </c>
      <c r="AK63" s="24" t="str">
        <f t="shared" si="44"/>
        <v/>
      </c>
      <c r="AL63" s="23">
        <f>695</f>
        <v>695</v>
      </c>
      <c r="AM63" s="22"/>
      <c r="AN63" s="23">
        <f t="shared" si="45"/>
        <v>695</v>
      </c>
      <c r="AO63" s="24" t="str">
        <f t="shared" si="46"/>
        <v/>
      </c>
      <c r="AP63" s="23">
        <f>695</f>
        <v>695</v>
      </c>
      <c r="AQ63" s="22"/>
      <c r="AR63" s="23">
        <f t="shared" si="47"/>
        <v>695</v>
      </c>
      <c r="AS63" s="24" t="str">
        <f t="shared" si="48"/>
        <v/>
      </c>
      <c r="AT63" s="23">
        <f>1390</f>
        <v>1390</v>
      </c>
      <c r="AU63" s="22"/>
      <c r="AV63" s="23">
        <f t="shared" si="49"/>
        <v>1390</v>
      </c>
      <c r="AW63" s="24" t="str">
        <f t="shared" si="50"/>
        <v/>
      </c>
      <c r="AX63" s="23">
        <f t="shared" si="54"/>
        <v>8340</v>
      </c>
      <c r="AY63" s="23">
        <f t="shared" si="54"/>
        <v>0</v>
      </c>
      <c r="AZ63" s="23">
        <f t="shared" si="52"/>
        <v>8340</v>
      </c>
      <c r="BA63" s="24" t="str">
        <f t="shared" si="53"/>
        <v/>
      </c>
    </row>
    <row r="64" spans="1:53" x14ac:dyDescent="0.3">
      <c r="A64" s="21" t="s">
        <v>141</v>
      </c>
      <c r="B64" s="23">
        <f>2775.5</f>
        <v>2775.5</v>
      </c>
      <c r="C64" s="22"/>
      <c r="D64" s="23">
        <f t="shared" si="27"/>
        <v>2775.5</v>
      </c>
      <c r="E64" s="24" t="str">
        <f t="shared" si="28"/>
        <v/>
      </c>
      <c r="F64" s="23">
        <f>640</f>
        <v>640</v>
      </c>
      <c r="G64" s="22"/>
      <c r="H64" s="23">
        <f t="shared" si="29"/>
        <v>640</v>
      </c>
      <c r="I64" s="24" t="str">
        <f t="shared" si="30"/>
        <v/>
      </c>
      <c r="J64" s="22"/>
      <c r="K64" s="22"/>
      <c r="L64" s="23">
        <f t="shared" si="31"/>
        <v>0</v>
      </c>
      <c r="M64" s="24" t="str">
        <f t="shared" si="32"/>
        <v/>
      </c>
      <c r="N64" s="22"/>
      <c r="O64" s="22"/>
      <c r="P64" s="23">
        <f t="shared" si="33"/>
        <v>0</v>
      </c>
      <c r="Q64" s="24" t="str">
        <f t="shared" si="34"/>
        <v/>
      </c>
      <c r="R64" s="23">
        <f>450</f>
        <v>450</v>
      </c>
      <c r="S64" s="22"/>
      <c r="T64" s="23">
        <f t="shared" si="35"/>
        <v>450</v>
      </c>
      <c r="U64" s="24" t="str">
        <f t="shared" si="36"/>
        <v/>
      </c>
      <c r="V64" s="23">
        <f>90</f>
        <v>90</v>
      </c>
      <c r="W64" s="22"/>
      <c r="X64" s="23">
        <f t="shared" si="37"/>
        <v>90</v>
      </c>
      <c r="Y64" s="24" t="str">
        <f t="shared" si="38"/>
        <v/>
      </c>
      <c r="Z64" s="22"/>
      <c r="AA64" s="22"/>
      <c r="AB64" s="23">
        <f t="shared" si="39"/>
        <v>0</v>
      </c>
      <c r="AC64" s="24" t="str">
        <f t="shared" si="40"/>
        <v/>
      </c>
      <c r="AD64" s="22"/>
      <c r="AE64" s="22"/>
      <c r="AF64" s="23">
        <f t="shared" si="41"/>
        <v>0</v>
      </c>
      <c r="AG64" s="24" t="str">
        <f t="shared" si="42"/>
        <v/>
      </c>
      <c r="AH64" s="22"/>
      <c r="AI64" s="22"/>
      <c r="AJ64" s="23">
        <f t="shared" si="43"/>
        <v>0</v>
      </c>
      <c r="AK64" s="24" t="str">
        <f t="shared" si="44"/>
        <v/>
      </c>
      <c r="AL64" s="22"/>
      <c r="AM64" s="22"/>
      <c r="AN64" s="23">
        <f t="shared" si="45"/>
        <v>0</v>
      </c>
      <c r="AO64" s="24" t="str">
        <f t="shared" si="46"/>
        <v/>
      </c>
      <c r="AP64" s="22"/>
      <c r="AQ64" s="22"/>
      <c r="AR64" s="23">
        <f t="shared" si="47"/>
        <v>0</v>
      </c>
      <c r="AS64" s="24" t="str">
        <f t="shared" si="48"/>
        <v/>
      </c>
      <c r="AT64" s="22"/>
      <c r="AU64" s="22"/>
      <c r="AV64" s="23">
        <f t="shared" si="49"/>
        <v>0</v>
      </c>
      <c r="AW64" s="24" t="str">
        <f t="shared" si="50"/>
        <v/>
      </c>
      <c r="AX64" s="23">
        <f t="shared" si="54"/>
        <v>3955.5</v>
      </c>
      <c r="AY64" s="23">
        <f t="shared" si="54"/>
        <v>0</v>
      </c>
      <c r="AZ64" s="23">
        <f t="shared" si="52"/>
        <v>3955.5</v>
      </c>
      <c r="BA64" s="24" t="str">
        <f t="shared" si="53"/>
        <v/>
      </c>
    </row>
    <row r="65" spans="1:53" x14ac:dyDescent="0.3">
      <c r="A65" s="21" t="s">
        <v>142</v>
      </c>
      <c r="B65" s="23">
        <f>172.32</f>
        <v>172.32</v>
      </c>
      <c r="C65" s="22"/>
      <c r="D65" s="23">
        <f t="shared" si="27"/>
        <v>172.32</v>
      </c>
      <c r="E65" s="24" t="str">
        <f t="shared" si="28"/>
        <v/>
      </c>
      <c r="F65" s="23">
        <f>150</f>
        <v>150</v>
      </c>
      <c r="G65" s="22"/>
      <c r="H65" s="23">
        <f t="shared" si="29"/>
        <v>150</v>
      </c>
      <c r="I65" s="24" t="str">
        <f t="shared" si="30"/>
        <v/>
      </c>
      <c r="J65" s="23">
        <f>422</f>
        <v>422</v>
      </c>
      <c r="K65" s="22"/>
      <c r="L65" s="23">
        <f t="shared" si="31"/>
        <v>422</v>
      </c>
      <c r="M65" s="24" t="str">
        <f t="shared" si="32"/>
        <v/>
      </c>
      <c r="N65" s="23">
        <f>2612.75</f>
        <v>2612.75</v>
      </c>
      <c r="O65" s="22"/>
      <c r="P65" s="23">
        <f t="shared" si="33"/>
        <v>2612.75</v>
      </c>
      <c r="Q65" s="24" t="str">
        <f t="shared" si="34"/>
        <v/>
      </c>
      <c r="R65" s="22"/>
      <c r="S65" s="22"/>
      <c r="T65" s="23">
        <f t="shared" si="35"/>
        <v>0</v>
      </c>
      <c r="U65" s="24" t="str">
        <f t="shared" si="36"/>
        <v/>
      </c>
      <c r="V65" s="23">
        <f>510.07</f>
        <v>510.07</v>
      </c>
      <c r="W65" s="22"/>
      <c r="X65" s="23">
        <f t="shared" si="37"/>
        <v>510.07</v>
      </c>
      <c r="Y65" s="24" t="str">
        <f t="shared" si="38"/>
        <v/>
      </c>
      <c r="Z65" s="23">
        <f>122.31</f>
        <v>122.31</v>
      </c>
      <c r="AA65" s="22"/>
      <c r="AB65" s="23">
        <f t="shared" si="39"/>
        <v>122.31</v>
      </c>
      <c r="AC65" s="24" t="str">
        <f t="shared" si="40"/>
        <v/>
      </c>
      <c r="AD65" s="23">
        <f>24</f>
        <v>24</v>
      </c>
      <c r="AE65" s="22"/>
      <c r="AF65" s="23">
        <f t="shared" si="41"/>
        <v>24</v>
      </c>
      <c r="AG65" s="24" t="str">
        <f t="shared" si="42"/>
        <v/>
      </c>
      <c r="AH65" s="22"/>
      <c r="AI65" s="22"/>
      <c r="AJ65" s="23">
        <f t="shared" si="43"/>
        <v>0</v>
      </c>
      <c r="AK65" s="24" t="str">
        <f t="shared" si="44"/>
        <v/>
      </c>
      <c r="AL65" s="23">
        <f>680</f>
        <v>680</v>
      </c>
      <c r="AM65" s="22"/>
      <c r="AN65" s="23">
        <f t="shared" si="45"/>
        <v>680</v>
      </c>
      <c r="AO65" s="24" t="str">
        <f t="shared" si="46"/>
        <v/>
      </c>
      <c r="AP65" s="23">
        <f>2220</f>
        <v>2220</v>
      </c>
      <c r="AQ65" s="22"/>
      <c r="AR65" s="23">
        <f t="shared" si="47"/>
        <v>2220</v>
      </c>
      <c r="AS65" s="24" t="str">
        <f t="shared" si="48"/>
        <v/>
      </c>
      <c r="AT65" s="23">
        <f>327</f>
        <v>327</v>
      </c>
      <c r="AU65" s="22"/>
      <c r="AV65" s="23">
        <f t="shared" si="49"/>
        <v>327</v>
      </c>
      <c r="AW65" s="24" t="str">
        <f t="shared" si="50"/>
        <v/>
      </c>
      <c r="AX65" s="23">
        <f t="shared" si="54"/>
        <v>7240.45</v>
      </c>
      <c r="AY65" s="23">
        <f t="shared" si="54"/>
        <v>0</v>
      </c>
      <c r="AZ65" s="23">
        <f t="shared" si="52"/>
        <v>7240.45</v>
      </c>
      <c r="BA65" s="24" t="str">
        <f t="shared" si="53"/>
        <v/>
      </c>
    </row>
    <row r="66" spans="1:53" x14ac:dyDescent="0.3">
      <c r="A66" s="21" t="s">
        <v>143</v>
      </c>
      <c r="B66" s="23">
        <f>307.07</f>
        <v>307.07</v>
      </c>
      <c r="C66" s="22"/>
      <c r="D66" s="23">
        <f t="shared" si="27"/>
        <v>307.07</v>
      </c>
      <c r="E66" s="24" t="str">
        <f t="shared" si="28"/>
        <v/>
      </c>
      <c r="F66" s="22"/>
      <c r="G66" s="22"/>
      <c r="H66" s="23">
        <f t="shared" si="29"/>
        <v>0</v>
      </c>
      <c r="I66" s="24" t="str">
        <f t="shared" si="30"/>
        <v/>
      </c>
      <c r="J66" s="22"/>
      <c r="K66" s="22"/>
      <c r="L66" s="23">
        <f t="shared" si="31"/>
        <v>0</v>
      </c>
      <c r="M66" s="24" t="str">
        <f t="shared" si="32"/>
        <v/>
      </c>
      <c r="N66" s="23">
        <f>307.07</f>
        <v>307.07</v>
      </c>
      <c r="O66" s="22"/>
      <c r="P66" s="23">
        <f t="shared" si="33"/>
        <v>307.07</v>
      </c>
      <c r="Q66" s="24" t="str">
        <f t="shared" si="34"/>
        <v/>
      </c>
      <c r="R66" s="22"/>
      <c r="S66" s="22"/>
      <c r="T66" s="23">
        <f t="shared" si="35"/>
        <v>0</v>
      </c>
      <c r="U66" s="24" t="str">
        <f t="shared" si="36"/>
        <v/>
      </c>
      <c r="V66" s="23">
        <f>307.07</f>
        <v>307.07</v>
      </c>
      <c r="W66" s="22"/>
      <c r="X66" s="23">
        <f t="shared" si="37"/>
        <v>307.07</v>
      </c>
      <c r="Y66" s="24" t="str">
        <f t="shared" si="38"/>
        <v/>
      </c>
      <c r="Z66" s="22"/>
      <c r="AA66" s="22"/>
      <c r="AB66" s="23">
        <f t="shared" si="39"/>
        <v>0</v>
      </c>
      <c r="AC66" s="24" t="str">
        <f t="shared" si="40"/>
        <v/>
      </c>
      <c r="AD66" s="22"/>
      <c r="AE66" s="22"/>
      <c r="AF66" s="23">
        <f t="shared" si="41"/>
        <v>0</v>
      </c>
      <c r="AG66" s="24" t="str">
        <f t="shared" si="42"/>
        <v/>
      </c>
      <c r="AH66" s="23">
        <f>330.1</f>
        <v>330.1</v>
      </c>
      <c r="AI66" s="22"/>
      <c r="AJ66" s="23">
        <f t="shared" si="43"/>
        <v>330.1</v>
      </c>
      <c r="AK66" s="24" t="str">
        <f t="shared" si="44"/>
        <v/>
      </c>
      <c r="AL66" s="22"/>
      <c r="AM66" s="22"/>
      <c r="AN66" s="23">
        <f t="shared" si="45"/>
        <v>0</v>
      </c>
      <c r="AO66" s="24" t="str">
        <f t="shared" si="46"/>
        <v/>
      </c>
      <c r="AP66" s="23">
        <f>973.11</f>
        <v>973.11</v>
      </c>
      <c r="AQ66" s="22"/>
      <c r="AR66" s="23">
        <f t="shared" si="47"/>
        <v>973.11</v>
      </c>
      <c r="AS66" s="24" t="str">
        <f t="shared" si="48"/>
        <v/>
      </c>
      <c r="AT66" s="23">
        <f>330.1</f>
        <v>330.1</v>
      </c>
      <c r="AU66" s="22"/>
      <c r="AV66" s="23">
        <f t="shared" si="49"/>
        <v>330.1</v>
      </c>
      <c r="AW66" s="24" t="str">
        <f t="shared" si="50"/>
        <v/>
      </c>
      <c r="AX66" s="23">
        <f t="shared" si="54"/>
        <v>2554.52</v>
      </c>
      <c r="AY66" s="23">
        <f t="shared" si="54"/>
        <v>0</v>
      </c>
      <c r="AZ66" s="23">
        <f t="shared" si="52"/>
        <v>2554.52</v>
      </c>
      <c r="BA66" s="24" t="str">
        <f t="shared" si="53"/>
        <v/>
      </c>
    </row>
    <row r="67" spans="1:53" x14ac:dyDescent="0.3">
      <c r="A67" s="21" t="s">
        <v>144</v>
      </c>
      <c r="B67" s="22"/>
      <c r="C67" s="22"/>
      <c r="D67" s="23">
        <f t="shared" si="27"/>
        <v>0</v>
      </c>
      <c r="E67" s="24" t="str">
        <f t="shared" si="28"/>
        <v/>
      </c>
      <c r="F67" s="22"/>
      <c r="G67" s="22"/>
      <c r="H67" s="23">
        <f t="shared" si="29"/>
        <v>0</v>
      </c>
      <c r="I67" s="24" t="str">
        <f t="shared" si="30"/>
        <v/>
      </c>
      <c r="J67" s="22"/>
      <c r="K67" s="22"/>
      <c r="L67" s="23">
        <f t="shared" si="31"/>
        <v>0</v>
      </c>
      <c r="M67" s="24" t="str">
        <f t="shared" si="32"/>
        <v/>
      </c>
      <c r="N67" s="23">
        <f>390.2</f>
        <v>390.2</v>
      </c>
      <c r="O67" s="22"/>
      <c r="P67" s="23">
        <f t="shared" si="33"/>
        <v>390.2</v>
      </c>
      <c r="Q67" s="24" t="str">
        <f t="shared" si="34"/>
        <v/>
      </c>
      <c r="R67" s="23">
        <f>266.53</f>
        <v>266.52999999999997</v>
      </c>
      <c r="S67" s="22"/>
      <c r="T67" s="23">
        <f t="shared" si="35"/>
        <v>266.52999999999997</v>
      </c>
      <c r="U67" s="24" t="str">
        <f t="shared" si="36"/>
        <v/>
      </c>
      <c r="V67" s="23">
        <f>137.34</f>
        <v>137.34</v>
      </c>
      <c r="W67" s="22"/>
      <c r="X67" s="23">
        <f t="shared" si="37"/>
        <v>137.34</v>
      </c>
      <c r="Y67" s="24" t="str">
        <f t="shared" si="38"/>
        <v/>
      </c>
      <c r="Z67" s="22"/>
      <c r="AA67" s="22"/>
      <c r="AB67" s="23">
        <f t="shared" si="39"/>
        <v>0</v>
      </c>
      <c r="AC67" s="24" t="str">
        <f t="shared" si="40"/>
        <v/>
      </c>
      <c r="AD67" s="22"/>
      <c r="AE67" s="22"/>
      <c r="AF67" s="23">
        <f t="shared" si="41"/>
        <v>0</v>
      </c>
      <c r="AG67" s="24" t="str">
        <f t="shared" si="42"/>
        <v/>
      </c>
      <c r="AH67" s="22"/>
      <c r="AI67" s="22"/>
      <c r="AJ67" s="23">
        <f t="shared" si="43"/>
        <v>0</v>
      </c>
      <c r="AK67" s="24" t="str">
        <f t="shared" si="44"/>
        <v/>
      </c>
      <c r="AL67" s="23">
        <f>203.51</f>
        <v>203.51</v>
      </c>
      <c r="AM67" s="22"/>
      <c r="AN67" s="23">
        <f t="shared" si="45"/>
        <v>203.51</v>
      </c>
      <c r="AO67" s="24" t="str">
        <f t="shared" si="46"/>
        <v/>
      </c>
      <c r="AP67" s="22"/>
      <c r="AQ67" s="22"/>
      <c r="AR67" s="23">
        <f t="shared" si="47"/>
        <v>0</v>
      </c>
      <c r="AS67" s="24" t="str">
        <f t="shared" si="48"/>
        <v/>
      </c>
      <c r="AT67" s="23">
        <f>266.53</f>
        <v>266.52999999999997</v>
      </c>
      <c r="AU67" s="22"/>
      <c r="AV67" s="23">
        <f t="shared" si="49"/>
        <v>266.52999999999997</v>
      </c>
      <c r="AW67" s="24" t="str">
        <f t="shared" si="50"/>
        <v/>
      </c>
      <c r="AX67" s="23">
        <f t="shared" si="54"/>
        <v>1264.1100000000001</v>
      </c>
      <c r="AY67" s="23">
        <f t="shared" si="54"/>
        <v>0</v>
      </c>
      <c r="AZ67" s="23">
        <f t="shared" si="52"/>
        <v>1264.1100000000001</v>
      </c>
      <c r="BA67" s="24" t="str">
        <f t="shared" si="53"/>
        <v/>
      </c>
    </row>
    <row r="68" spans="1:53" x14ac:dyDescent="0.3">
      <c r="A68" s="21" t="s">
        <v>145</v>
      </c>
      <c r="B68" s="22"/>
      <c r="C68" s="22"/>
      <c r="D68" s="23">
        <f t="shared" si="27"/>
        <v>0</v>
      </c>
      <c r="E68" s="24" t="str">
        <f t="shared" si="28"/>
        <v/>
      </c>
      <c r="F68" s="22"/>
      <c r="G68" s="22"/>
      <c r="H68" s="23">
        <f t="shared" si="29"/>
        <v>0</v>
      </c>
      <c r="I68" s="24" t="str">
        <f t="shared" si="30"/>
        <v/>
      </c>
      <c r="J68" s="22"/>
      <c r="K68" s="22"/>
      <c r="L68" s="23">
        <f t="shared" si="31"/>
        <v>0</v>
      </c>
      <c r="M68" s="24" t="str">
        <f t="shared" si="32"/>
        <v/>
      </c>
      <c r="N68" s="22"/>
      <c r="O68" s="22"/>
      <c r="P68" s="23">
        <f t="shared" si="33"/>
        <v>0</v>
      </c>
      <c r="Q68" s="24" t="str">
        <f t="shared" si="34"/>
        <v/>
      </c>
      <c r="R68" s="22"/>
      <c r="S68" s="22"/>
      <c r="T68" s="23">
        <f t="shared" si="35"/>
        <v>0</v>
      </c>
      <c r="U68" s="24" t="str">
        <f t="shared" si="36"/>
        <v/>
      </c>
      <c r="V68" s="22"/>
      <c r="W68" s="22"/>
      <c r="X68" s="23">
        <f t="shared" si="37"/>
        <v>0</v>
      </c>
      <c r="Y68" s="24" t="str">
        <f t="shared" si="38"/>
        <v/>
      </c>
      <c r="Z68" s="22"/>
      <c r="AA68" s="22"/>
      <c r="AB68" s="23">
        <f t="shared" si="39"/>
        <v>0</v>
      </c>
      <c r="AC68" s="24" t="str">
        <f t="shared" si="40"/>
        <v/>
      </c>
      <c r="AD68" s="22"/>
      <c r="AE68" s="22"/>
      <c r="AF68" s="23">
        <f t="shared" si="41"/>
        <v>0</v>
      </c>
      <c r="AG68" s="24" t="str">
        <f t="shared" si="42"/>
        <v/>
      </c>
      <c r="AH68" s="23">
        <f>1037</f>
        <v>1037</v>
      </c>
      <c r="AI68" s="22"/>
      <c r="AJ68" s="23">
        <f t="shared" si="43"/>
        <v>1037</v>
      </c>
      <c r="AK68" s="24" t="str">
        <f t="shared" si="44"/>
        <v/>
      </c>
      <c r="AL68" s="22"/>
      <c r="AM68" s="22"/>
      <c r="AN68" s="23">
        <f t="shared" si="45"/>
        <v>0</v>
      </c>
      <c r="AO68" s="24" t="str">
        <f t="shared" si="46"/>
        <v/>
      </c>
      <c r="AP68" s="22"/>
      <c r="AQ68" s="22"/>
      <c r="AR68" s="23">
        <f t="shared" si="47"/>
        <v>0</v>
      </c>
      <c r="AS68" s="24" t="str">
        <f t="shared" si="48"/>
        <v/>
      </c>
      <c r="AT68" s="22"/>
      <c r="AU68" s="22"/>
      <c r="AV68" s="23">
        <f t="shared" si="49"/>
        <v>0</v>
      </c>
      <c r="AW68" s="24" t="str">
        <f t="shared" si="50"/>
        <v/>
      </c>
      <c r="AX68" s="23">
        <f t="shared" si="54"/>
        <v>1037</v>
      </c>
      <c r="AY68" s="23">
        <f t="shared" si="54"/>
        <v>0</v>
      </c>
      <c r="AZ68" s="23">
        <f t="shared" si="52"/>
        <v>1037</v>
      </c>
      <c r="BA68" s="24" t="str">
        <f t="shared" si="53"/>
        <v/>
      </c>
    </row>
    <row r="69" spans="1:53" x14ac:dyDescent="0.3">
      <c r="A69" s="21" t="s">
        <v>146</v>
      </c>
      <c r="B69" s="25">
        <f>(((((((B61)+(B62))+(B63))+(B64))+(B65))+(B66))+(B67))+(B68)</f>
        <v>3254.8900000000003</v>
      </c>
      <c r="C69" s="25">
        <f>(((((((C61)+(C62))+(C63))+(C64))+(C65))+(C66))+(C67))+(C68)</f>
        <v>0</v>
      </c>
      <c r="D69" s="25">
        <f t="shared" si="27"/>
        <v>3254.8900000000003</v>
      </c>
      <c r="E69" s="26" t="str">
        <f t="shared" si="28"/>
        <v/>
      </c>
      <c r="F69" s="25">
        <f>(((((((F61)+(F62))+(F63))+(F64))+(F65))+(F66))+(F67))+(F68)</f>
        <v>2180</v>
      </c>
      <c r="G69" s="25">
        <f>(((((((G61)+(G62))+(G63))+(G64))+(G65))+(G66))+(G67))+(G68)</f>
        <v>0</v>
      </c>
      <c r="H69" s="25">
        <f t="shared" si="29"/>
        <v>2180</v>
      </c>
      <c r="I69" s="26" t="str">
        <f t="shared" si="30"/>
        <v/>
      </c>
      <c r="J69" s="25">
        <f>(((((((J61)+(J62))+(J63))+(J64))+(J65))+(J66))+(J67))+(J68)</f>
        <v>1117</v>
      </c>
      <c r="K69" s="25">
        <f>(((((((K61)+(K62))+(K63))+(K64))+(K65))+(K66))+(K67))+(K68)</f>
        <v>0</v>
      </c>
      <c r="L69" s="25">
        <f t="shared" si="31"/>
        <v>1117</v>
      </c>
      <c r="M69" s="26" t="str">
        <f t="shared" si="32"/>
        <v/>
      </c>
      <c r="N69" s="25">
        <f>(((((((N61)+(N62))+(N63))+(N64))+(N65))+(N66))+(N67))+(N68)</f>
        <v>3310.02</v>
      </c>
      <c r="O69" s="25">
        <f>(((((((O61)+(O62))+(O63))+(O64))+(O65))+(O66))+(O67))+(O68)</f>
        <v>0</v>
      </c>
      <c r="P69" s="25">
        <f t="shared" si="33"/>
        <v>3310.02</v>
      </c>
      <c r="Q69" s="26" t="str">
        <f t="shared" si="34"/>
        <v/>
      </c>
      <c r="R69" s="25">
        <f>(((((((R61)+(R62))+(R63))+(R64))+(R65))+(R66))+(R67))+(R68)</f>
        <v>2106.5299999999997</v>
      </c>
      <c r="S69" s="25">
        <f>(((((((S61)+(S62))+(S63))+(S64))+(S65))+(S66))+(S67))+(S68)</f>
        <v>0</v>
      </c>
      <c r="T69" s="25">
        <f t="shared" si="35"/>
        <v>2106.5299999999997</v>
      </c>
      <c r="U69" s="26" t="str">
        <f t="shared" si="36"/>
        <v/>
      </c>
      <c r="V69" s="25">
        <f>(((((((V61)+(V62))+(V63))+(V64))+(V65))+(V66))+(V67))+(V68)</f>
        <v>1739.4799999999998</v>
      </c>
      <c r="W69" s="25">
        <f>(((((((W61)+(W62))+(W63))+(W64))+(W65))+(W66))+(W67))+(W68)</f>
        <v>0</v>
      </c>
      <c r="X69" s="25">
        <f t="shared" si="37"/>
        <v>1739.4799999999998</v>
      </c>
      <c r="Y69" s="26" t="str">
        <f t="shared" si="38"/>
        <v/>
      </c>
      <c r="Z69" s="25">
        <f>(((((((Z61)+(Z62))+(Z63))+(Z64))+(Z65))+(Z66))+(Z67))+(Z68)</f>
        <v>122.31</v>
      </c>
      <c r="AA69" s="25">
        <f>(((((((AA61)+(AA62))+(AA63))+(AA64))+(AA65))+(AA66))+(AA67))+(AA68)</f>
        <v>0</v>
      </c>
      <c r="AB69" s="25">
        <f t="shared" si="39"/>
        <v>122.31</v>
      </c>
      <c r="AC69" s="26" t="str">
        <f t="shared" si="40"/>
        <v/>
      </c>
      <c r="AD69" s="25">
        <f>(((((((AD61)+(AD62))+(AD63))+(AD64))+(AD65))+(AD66))+(AD67))+(AD68)</f>
        <v>719</v>
      </c>
      <c r="AE69" s="25">
        <f>(((((((AE61)+(AE62))+(AE63))+(AE64))+(AE65))+(AE66))+(AE67))+(AE68)</f>
        <v>0</v>
      </c>
      <c r="AF69" s="25">
        <f t="shared" si="41"/>
        <v>719</v>
      </c>
      <c r="AG69" s="26" t="str">
        <f t="shared" si="42"/>
        <v/>
      </c>
      <c r="AH69" s="25">
        <f>(((((((AH61)+(AH62))+(AH63))+(AH64))+(AH65))+(AH66))+(AH67))+(AH68)</f>
        <v>2762.1</v>
      </c>
      <c r="AI69" s="25">
        <f>(((((((AI61)+(AI62))+(AI63))+(AI64))+(AI65))+(AI66))+(AI67))+(AI68)</f>
        <v>0</v>
      </c>
      <c r="AJ69" s="25">
        <f t="shared" si="43"/>
        <v>2762.1</v>
      </c>
      <c r="AK69" s="26" t="str">
        <f t="shared" si="44"/>
        <v/>
      </c>
      <c r="AL69" s="25">
        <f>(((((((AL61)+(AL62))+(AL63))+(AL64))+(AL65))+(AL66))+(AL67))+(AL68)</f>
        <v>1578.51</v>
      </c>
      <c r="AM69" s="25">
        <f>(((((((AM61)+(AM62))+(AM63))+(AM64))+(AM65))+(AM66))+(AM67))+(AM68)</f>
        <v>0</v>
      </c>
      <c r="AN69" s="25">
        <f t="shared" si="45"/>
        <v>1578.51</v>
      </c>
      <c r="AO69" s="26" t="str">
        <f t="shared" si="46"/>
        <v/>
      </c>
      <c r="AP69" s="25">
        <f>(((((((AP61)+(AP62))+(AP63))+(AP64))+(AP65))+(AP66))+(AP67))+(AP68)</f>
        <v>3888.11</v>
      </c>
      <c r="AQ69" s="25">
        <f>(((((((AQ61)+(AQ62))+(AQ63))+(AQ64))+(AQ65))+(AQ66))+(AQ67))+(AQ68)</f>
        <v>0</v>
      </c>
      <c r="AR69" s="25">
        <f t="shared" si="47"/>
        <v>3888.11</v>
      </c>
      <c r="AS69" s="26" t="str">
        <f t="shared" si="48"/>
        <v/>
      </c>
      <c r="AT69" s="25">
        <f>(((((((AT61)+(AT62))+(AT63))+(AT64))+(AT65))+(AT66))+(AT67))+(AT68)</f>
        <v>2313.63</v>
      </c>
      <c r="AU69" s="25">
        <f>(((((((AU61)+(AU62))+(AU63))+(AU64))+(AU65))+(AU66))+(AU67))+(AU68)</f>
        <v>0</v>
      </c>
      <c r="AV69" s="25">
        <f t="shared" si="49"/>
        <v>2313.63</v>
      </c>
      <c r="AW69" s="26" t="str">
        <f t="shared" si="50"/>
        <v/>
      </c>
      <c r="AX69" s="25">
        <f t="shared" si="54"/>
        <v>25091.579999999998</v>
      </c>
      <c r="AY69" s="25">
        <f t="shared" si="54"/>
        <v>0</v>
      </c>
      <c r="AZ69" s="25">
        <f t="shared" si="52"/>
        <v>25091.579999999998</v>
      </c>
      <c r="BA69" s="26" t="str">
        <f t="shared" si="53"/>
        <v/>
      </c>
    </row>
    <row r="70" spans="1:53" x14ac:dyDescent="0.3">
      <c r="A70" s="21" t="s">
        <v>147</v>
      </c>
      <c r="B70" s="23">
        <f>1190.21</f>
        <v>1190.21</v>
      </c>
      <c r="C70" s="22"/>
      <c r="D70" s="23">
        <f t="shared" si="27"/>
        <v>1190.21</v>
      </c>
      <c r="E70" s="24" t="str">
        <f t="shared" si="28"/>
        <v/>
      </c>
      <c r="F70" s="23">
        <f>1190.21</f>
        <v>1190.21</v>
      </c>
      <c r="G70" s="22"/>
      <c r="H70" s="23">
        <f t="shared" si="29"/>
        <v>1190.21</v>
      </c>
      <c r="I70" s="24" t="str">
        <f t="shared" si="30"/>
        <v/>
      </c>
      <c r="J70" s="23">
        <f>1190.21</f>
        <v>1190.21</v>
      </c>
      <c r="K70" s="22"/>
      <c r="L70" s="23">
        <f t="shared" si="31"/>
        <v>1190.21</v>
      </c>
      <c r="M70" s="24" t="str">
        <f t="shared" si="32"/>
        <v/>
      </c>
      <c r="N70" s="23">
        <f>1190.21</f>
        <v>1190.21</v>
      </c>
      <c r="O70" s="22"/>
      <c r="P70" s="23">
        <f t="shared" si="33"/>
        <v>1190.21</v>
      </c>
      <c r="Q70" s="24" t="str">
        <f t="shared" si="34"/>
        <v/>
      </c>
      <c r="R70" s="23">
        <f>1190.21</f>
        <v>1190.21</v>
      </c>
      <c r="S70" s="22"/>
      <c r="T70" s="23">
        <f t="shared" si="35"/>
        <v>1190.21</v>
      </c>
      <c r="U70" s="24" t="str">
        <f t="shared" si="36"/>
        <v/>
      </c>
      <c r="V70" s="23">
        <f>1190.21</f>
        <v>1190.21</v>
      </c>
      <c r="W70" s="22"/>
      <c r="X70" s="23">
        <f t="shared" si="37"/>
        <v>1190.21</v>
      </c>
      <c r="Y70" s="24" t="str">
        <f t="shared" si="38"/>
        <v/>
      </c>
      <c r="Z70" s="23">
        <f>1190.21</f>
        <v>1190.21</v>
      </c>
      <c r="AA70" s="22"/>
      <c r="AB70" s="23">
        <f t="shared" si="39"/>
        <v>1190.21</v>
      </c>
      <c r="AC70" s="24" t="str">
        <f t="shared" si="40"/>
        <v/>
      </c>
      <c r="AD70" s="23">
        <f>1190.21</f>
        <v>1190.21</v>
      </c>
      <c r="AE70" s="22"/>
      <c r="AF70" s="23">
        <f t="shared" si="41"/>
        <v>1190.21</v>
      </c>
      <c r="AG70" s="24" t="str">
        <f t="shared" si="42"/>
        <v/>
      </c>
      <c r="AH70" s="23">
        <f>1190.21</f>
        <v>1190.21</v>
      </c>
      <c r="AI70" s="22"/>
      <c r="AJ70" s="23">
        <f t="shared" si="43"/>
        <v>1190.21</v>
      </c>
      <c r="AK70" s="24" t="str">
        <f t="shared" si="44"/>
        <v/>
      </c>
      <c r="AL70" s="23">
        <f>1190.21</f>
        <v>1190.21</v>
      </c>
      <c r="AM70" s="22"/>
      <c r="AN70" s="23">
        <f t="shared" si="45"/>
        <v>1190.21</v>
      </c>
      <c r="AO70" s="24" t="str">
        <f t="shared" si="46"/>
        <v/>
      </c>
      <c r="AP70" s="23">
        <f>1190.21</f>
        <v>1190.21</v>
      </c>
      <c r="AQ70" s="22"/>
      <c r="AR70" s="23">
        <f t="shared" si="47"/>
        <v>1190.21</v>
      </c>
      <c r="AS70" s="24" t="str">
        <f t="shared" si="48"/>
        <v/>
      </c>
      <c r="AT70" s="23">
        <f>1190.21</f>
        <v>1190.21</v>
      </c>
      <c r="AU70" s="22"/>
      <c r="AV70" s="23">
        <f t="shared" si="49"/>
        <v>1190.21</v>
      </c>
      <c r="AW70" s="24" t="str">
        <f t="shared" si="50"/>
        <v/>
      </c>
      <c r="AX70" s="23">
        <f t="shared" si="54"/>
        <v>14282.519999999997</v>
      </c>
      <c r="AY70" s="23">
        <f t="shared" si="54"/>
        <v>0</v>
      </c>
      <c r="AZ70" s="23">
        <f t="shared" si="52"/>
        <v>14282.519999999997</v>
      </c>
      <c r="BA70" s="24" t="str">
        <f t="shared" si="53"/>
        <v/>
      </c>
    </row>
    <row r="71" spans="1:53" x14ac:dyDescent="0.3">
      <c r="A71" s="21" t="s">
        <v>148</v>
      </c>
      <c r="B71" s="23">
        <f>23</f>
        <v>23</v>
      </c>
      <c r="C71" s="22"/>
      <c r="D71" s="23">
        <f t="shared" si="27"/>
        <v>23</v>
      </c>
      <c r="E71" s="24" t="str">
        <f t="shared" si="28"/>
        <v/>
      </c>
      <c r="F71" s="23">
        <f>207.62</f>
        <v>207.62</v>
      </c>
      <c r="G71" s="22"/>
      <c r="H71" s="23">
        <f t="shared" si="29"/>
        <v>207.62</v>
      </c>
      <c r="I71" s="24" t="str">
        <f t="shared" si="30"/>
        <v/>
      </c>
      <c r="J71" s="23">
        <f>1345.94</f>
        <v>1345.94</v>
      </c>
      <c r="K71" s="22"/>
      <c r="L71" s="23">
        <f t="shared" si="31"/>
        <v>1345.94</v>
      </c>
      <c r="M71" s="24" t="str">
        <f t="shared" si="32"/>
        <v/>
      </c>
      <c r="N71" s="23">
        <f>1605.54</f>
        <v>1605.54</v>
      </c>
      <c r="O71" s="22"/>
      <c r="P71" s="23">
        <f t="shared" si="33"/>
        <v>1605.54</v>
      </c>
      <c r="Q71" s="24" t="str">
        <f t="shared" si="34"/>
        <v/>
      </c>
      <c r="R71" s="23">
        <f>1378.67</f>
        <v>1378.67</v>
      </c>
      <c r="S71" s="22"/>
      <c r="T71" s="23">
        <f t="shared" si="35"/>
        <v>1378.67</v>
      </c>
      <c r="U71" s="24" t="str">
        <f t="shared" si="36"/>
        <v/>
      </c>
      <c r="V71" s="23">
        <f>62.29</f>
        <v>62.29</v>
      </c>
      <c r="W71" s="22"/>
      <c r="X71" s="23">
        <f t="shared" si="37"/>
        <v>62.29</v>
      </c>
      <c r="Y71" s="24" t="str">
        <f t="shared" si="38"/>
        <v/>
      </c>
      <c r="Z71" s="23">
        <f>3160.8</f>
        <v>3160.8</v>
      </c>
      <c r="AA71" s="22"/>
      <c r="AB71" s="23">
        <f t="shared" si="39"/>
        <v>3160.8</v>
      </c>
      <c r="AC71" s="24" t="str">
        <f t="shared" si="40"/>
        <v/>
      </c>
      <c r="AD71" s="22"/>
      <c r="AE71" s="22"/>
      <c r="AF71" s="23">
        <f t="shared" si="41"/>
        <v>0</v>
      </c>
      <c r="AG71" s="24" t="str">
        <f t="shared" si="42"/>
        <v/>
      </c>
      <c r="AH71" s="23">
        <f>4436.88</f>
        <v>4436.88</v>
      </c>
      <c r="AI71" s="22"/>
      <c r="AJ71" s="23">
        <f t="shared" si="43"/>
        <v>4436.88</v>
      </c>
      <c r="AK71" s="24" t="str">
        <f t="shared" si="44"/>
        <v/>
      </c>
      <c r="AL71" s="23">
        <f>89</f>
        <v>89</v>
      </c>
      <c r="AM71" s="22"/>
      <c r="AN71" s="23">
        <f t="shared" si="45"/>
        <v>89</v>
      </c>
      <c r="AO71" s="24" t="str">
        <f t="shared" si="46"/>
        <v/>
      </c>
      <c r="AP71" s="22"/>
      <c r="AQ71" s="22"/>
      <c r="AR71" s="23">
        <f t="shared" si="47"/>
        <v>0</v>
      </c>
      <c r="AS71" s="24" t="str">
        <f t="shared" si="48"/>
        <v/>
      </c>
      <c r="AT71" s="22"/>
      <c r="AU71" s="22"/>
      <c r="AV71" s="23">
        <f t="shared" si="49"/>
        <v>0</v>
      </c>
      <c r="AW71" s="24" t="str">
        <f t="shared" si="50"/>
        <v/>
      </c>
      <c r="AX71" s="23">
        <f t="shared" si="54"/>
        <v>12309.740000000002</v>
      </c>
      <c r="AY71" s="23">
        <f t="shared" si="54"/>
        <v>0</v>
      </c>
      <c r="AZ71" s="23">
        <f t="shared" si="52"/>
        <v>12309.740000000002</v>
      </c>
      <c r="BA71" s="24" t="str">
        <f t="shared" si="53"/>
        <v/>
      </c>
    </row>
    <row r="72" spans="1:53" x14ac:dyDescent="0.3">
      <c r="A72" s="21" t="s">
        <v>149</v>
      </c>
      <c r="B72" s="22"/>
      <c r="C72" s="22"/>
      <c r="D72" s="23">
        <f t="shared" si="27"/>
        <v>0</v>
      </c>
      <c r="E72" s="24" t="str">
        <f t="shared" si="28"/>
        <v/>
      </c>
      <c r="F72" s="23">
        <f>280</f>
        <v>280</v>
      </c>
      <c r="G72" s="22"/>
      <c r="H72" s="23">
        <f t="shared" si="29"/>
        <v>280</v>
      </c>
      <c r="I72" s="24" t="str">
        <f t="shared" si="30"/>
        <v/>
      </c>
      <c r="J72" s="23">
        <f>175</f>
        <v>175</v>
      </c>
      <c r="K72" s="22"/>
      <c r="L72" s="23">
        <f t="shared" si="31"/>
        <v>175</v>
      </c>
      <c r="M72" s="24" t="str">
        <f t="shared" si="32"/>
        <v/>
      </c>
      <c r="N72" s="22"/>
      <c r="O72" s="22"/>
      <c r="P72" s="23">
        <f t="shared" si="33"/>
        <v>0</v>
      </c>
      <c r="Q72" s="24" t="str">
        <f t="shared" si="34"/>
        <v/>
      </c>
      <c r="R72" s="22"/>
      <c r="S72" s="22"/>
      <c r="T72" s="23">
        <f t="shared" si="35"/>
        <v>0</v>
      </c>
      <c r="U72" s="24" t="str">
        <f t="shared" si="36"/>
        <v/>
      </c>
      <c r="V72" s="22"/>
      <c r="W72" s="22"/>
      <c r="X72" s="23">
        <f t="shared" si="37"/>
        <v>0</v>
      </c>
      <c r="Y72" s="24" t="str">
        <f t="shared" si="38"/>
        <v/>
      </c>
      <c r="Z72" s="22"/>
      <c r="AA72" s="22"/>
      <c r="AB72" s="23">
        <f t="shared" si="39"/>
        <v>0</v>
      </c>
      <c r="AC72" s="24" t="str">
        <f t="shared" si="40"/>
        <v/>
      </c>
      <c r="AD72" s="23">
        <f>3995</f>
        <v>3995</v>
      </c>
      <c r="AE72" s="22"/>
      <c r="AF72" s="23">
        <f t="shared" si="41"/>
        <v>3995</v>
      </c>
      <c r="AG72" s="24" t="str">
        <f t="shared" si="42"/>
        <v/>
      </c>
      <c r="AH72" s="22"/>
      <c r="AI72" s="22"/>
      <c r="AJ72" s="23">
        <f t="shared" si="43"/>
        <v>0</v>
      </c>
      <c r="AK72" s="24" t="str">
        <f t="shared" si="44"/>
        <v/>
      </c>
      <c r="AL72" s="22"/>
      <c r="AM72" s="22"/>
      <c r="AN72" s="23">
        <f t="shared" si="45"/>
        <v>0</v>
      </c>
      <c r="AO72" s="24" t="str">
        <f t="shared" si="46"/>
        <v/>
      </c>
      <c r="AP72" s="22"/>
      <c r="AQ72" s="22"/>
      <c r="AR72" s="23">
        <f t="shared" si="47"/>
        <v>0</v>
      </c>
      <c r="AS72" s="24" t="str">
        <f t="shared" si="48"/>
        <v/>
      </c>
      <c r="AT72" s="23">
        <f>1098.02</f>
        <v>1098.02</v>
      </c>
      <c r="AU72" s="22"/>
      <c r="AV72" s="23">
        <f t="shared" si="49"/>
        <v>1098.02</v>
      </c>
      <c r="AW72" s="24" t="str">
        <f t="shared" si="50"/>
        <v/>
      </c>
      <c r="AX72" s="23">
        <f t="shared" si="54"/>
        <v>5548.02</v>
      </c>
      <c r="AY72" s="23">
        <f t="shared" si="54"/>
        <v>0</v>
      </c>
      <c r="AZ72" s="23">
        <f t="shared" si="52"/>
        <v>5548.02</v>
      </c>
      <c r="BA72" s="24" t="str">
        <f t="shared" si="53"/>
        <v/>
      </c>
    </row>
    <row r="73" spans="1:53" x14ac:dyDescent="0.3">
      <c r="A73" s="21" t="s">
        <v>150</v>
      </c>
      <c r="B73" s="22"/>
      <c r="C73" s="22"/>
      <c r="D73" s="23">
        <f t="shared" si="27"/>
        <v>0</v>
      </c>
      <c r="E73" s="24" t="str">
        <f t="shared" si="28"/>
        <v/>
      </c>
      <c r="F73" s="22"/>
      <c r="G73" s="22"/>
      <c r="H73" s="23">
        <f t="shared" si="29"/>
        <v>0</v>
      </c>
      <c r="I73" s="24" t="str">
        <f t="shared" si="30"/>
        <v/>
      </c>
      <c r="J73" s="22"/>
      <c r="K73" s="22"/>
      <c r="L73" s="23">
        <f t="shared" si="31"/>
        <v>0</v>
      </c>
      <c r="M73" s="24" t="str">
        <f t="shared" si="32"/>
        <v/>
      </c>
      <c r="N73" s="22"/>
      <c r="O73" s="22"/>
      <c r="P73" s="23">
        <f t="shared" si="33"/>
        <v>0</v>
      </c>
      <c r="Q73" s="24" t="str">
        <f t="shared" si="34"/>
        <v/>
      </c>
      <c r="R73" s="22"/>
      <c r="S73" s="22"/>
      <c r="T73" s="23">
        <f t="shared" si="35"/>
        <v>0</v>
      </c>
      <c r="U73" s="24" t="str">
        <f t="shared" si="36"/>
        <v/>
      </c>
      <c r="V73" s="22"/>
      <c r="W73" s="22"/>
      <c r="X73" s="23">
        <f t="shared" si="37"/>
        <v>0</v>
      </c>
      <c r="Y73" s="24" t="str">
        <f t="shared" si="38"/>
        <v/>
      </c>
      <c r="Z73" s="22"/>
      <c r="AA73" s="22"/>
      <c r="AB73" s="23">
        <f t="shared" si="39"/>
        <v>0</v>
      </c>
      <c r="AC73" s="24" t="str">
        <f t="shared" si="40"/>
        <v/>
      </c>
      <c r="AD73" s="22"/>
      <c r="AE73" s="22"/>
      <c r="AF73" s="23">
        <f t="shared" si="41"/>
        <v>0</v>
      </c>
      <c r="AG73" s="24" t="str">
        <f t="shared" si="42"/>
        <v/>
      </c>
      <c r="AH73" s="22"/>
      <c r="AI73" s="22"/>
      <c r="AJ73" s="23">
        <f t="shared" si="43"/>
        <v>0</v>
      </c>
      <c r="AK73" s="24" t="str">
        <f t="shared" si="44"/>
        <v/>
      </c>
      <c r="AL73" s="22"/>
      <c r="AM73" s="22"/>
      <c r="AN73" s="23">
        <f t="shared" si="45"/>
        <v>0</v>
      </c>
      <c r="AO73" s="24" t="str">
        <f t="shared" si="46"/>
        <v/>
      </c>
      <c r="AP73" s="22"/>
      <c r="AQ73" s="22"/>
      <c r="AR73" s="23">
        <f t="shared" si="47"/>
        <v>0</v>
      </c>
      <c r="AS73" s="24" t="str">
        <f t="shared" si="48"/>
        <v/>
      </c>
      <c r="AT73" s="22"/>
      <c r="AU73" s="22"/>
      <c r="AV73" s="23">
        <f t="shared" si="49"/>
        <v>0</v>
      </c>
      <c r="AW73" s="24" t="str">
        <f t="shared" si="50"/>
        <v/>
      </c>
      <c r="AX73" s="23">
        <f t="shared" si="54"/>
        <v>0</v>
      </c>
      <c r="AY73" s="23">
        <f t="shared" si="54"/>
        <v>0</v>
      </c>
      <c r="AZ73" s="23">
        <f t="shared" si="52"/>
        <v>0</v>
      </c>
      <c r="BA73" s="24" t="str">
        <f t="shared" si="53"/>
        <v/>
      </c>
    </row>
    <row r="74" spans="1:53" x14ac:dyDescent="0.3">
      <c r="A74" s="21" t="s">
        <v>151</v>
      </c>
      <c r="B74" s="23">
        <f>386.79</f>
        <v>386.79</v>
      </c>
      <c r="C74" s="22"/>
      <c r="D74" s="23">
        <f t="shared" si="27"/>
        <v>386.79</v>
      </c>
      <c r="E74" s="24" t="str">
        <f t="shared" si="28"/>
        <v/>
      </c>
      <c r="F74" s="22"/>
      <c r="G74" s="22"/>
      <c r="H74" s="23">
        <f t="shared" si="29"/>
        <v>0</v>
      </c>
      <c r="I74" s="24" t="str">
        <f t="shared" si="30"/>
        <v/>
      </c>
      <c r="J74" s="23">
        <f>204.27</f>
        <v>204.27</v>
      </c>
      <c r="K74" s="22"/>
      <c r="L74" s="23">
        <f t="shared" si="31"/>
        <v>204.27</v>
      </c>
      <c r="M74" s="24" t="str">
        <f t="shared" si="32"/>
        <v/>
      </c>
      <c r="N74" s="23">
        <f>844.88</f>
        <v>844.88</v>
      </c>
      <c r="O74" s="22"/>
      <c r="P74" s="23">
        <f t="shared" si="33"/>
        <v>844.88</v>
      </c>
      <c r="Q74" s="24" t="str">
        <f t="shared" si="34"/>
        <v/>
      </c>
      <c r="R74" s="22"/>
      <c r="S74" s="22"/>
      <c r="T74" s="23">
        <f t="shared" si="35"/>
        <v>0</v>
      </c>
      <c r="U74" s="24" t="str">
        <f t="shared" si="36"/>
        <v/>
      </c>
      <c r="V74" s="23">
        <f>82.4</f>
        <v>82.4</v>
      </c>
      <c r="W74" s="22"/>
      <c r="X74" s="23">
        <f t="shared" si="37"/>
        <v>82.4</v>
      </c>
      <c r="Y74" s="24" t="str">
        <f t="shared" si="38"/>
        <v/>
      </c>
      <c r="Z74" s="23">
        <f>171.33</f>
        <v>171.33</v>
      </c>
      <c r="AA74" s="22"/>
      <c r="AB74" s="23">
        <f t="shared" si="39"/>
        <v>171.33</v>
      </c>
      <c r="AC74" s="24" t="str">
        <f t="shared" si="40"/>
        <v/>
      </c>
      <c r="AD74" s="23">
        <f>688.9</f>
        <v>688.9</v>
      </c>
      <c r="AE74" s="22"/>
      <c r="AF74" s="23">
        <f t="shared" si="41"/>
        <v>688.9</v>
      </c>
      <c r="AG74" s="24" t="str">
        <f t="shared" si="42"/>
        <v/>
      </c>
      <c r="AH74" s="23">
        <f>5057.6</f>
        <v>5057.6000000000004</v>
      </c>
      <c r="AI74" s="22"/>
      <c r="AJ74" s="23">
        <f t="shared" si="43"/>
        <v>5057.6000000000004</v>
      </c>
      <c r="AK74" s="24" t="str">
        <f t="shared" si="44"/>
        <v/>
      </c>
      <c r="AL74" s="22"/>
      <c r="AM74" s="22"/>
      <c r="AN74" s="23">
        <f t="shared" si="45"/>
        <v>0</v>
      </c>
      <c r="AO74" s="24" t="str">
        <f t="shared" si="46"/>
        <v/>
      </c>
      <c r="AP74" s="22"/>
      <c r="AQ74" s="22"/>
      <c r="AR74" s="23">
        <f t="shared" si="47"/>
        <v>0</v>
      </c>
      <c r="AS74" s="24" t="str">
        <f t="shared" si="48"/>
        <v/>
      </c>
      <c r="AT74" s="22"/>
      <c r="AU74" s="22"/>
      <c r="AV74" s="23">
        <f t="shared" si="49"/>
        <v>0</v>
      </c>
      <c r="AW74" s="24" t="str">
        <f t="shared" si="50"/>
        <v/>
      </c>
      <c r="AX74" s="23">
        <f t="shared" si="54"/>
        <v>7436.17</v>
      </c>
      <c r="AY74" s="23">
        <f t="shared" si="54"/>
        <v>0</v>
      </c>
      <c r="AZ74" s="23">
        <f t="shared" si="52"/>
        <v>7436.17</v>
      </c>
      <c r="BA74" s="24" t="str">
        <f t="shared" si="53"/>
        <v/>
      </c>
    </row>
    <row r="75" spans="1:53" x14ac:dyDescent="0.3">
      <c r="A75" s="21" t="s">
        <v>152</v>
      </c>
      <c r="B75" s="23">
        <f>118.99</f>
        <v>118.99</v>
      </c>
      <c r="C75" s="22"/>
      <c r="D75" s="23">
        <f t="shared" si="27"/>
        <v>118.99</v>
      </c>
      <c r="E75" s="24" t="str">
        <f t="shared" si="28"/>
        <v/>
      </c>
      <c r="F75" s="23">
        <f>1927.38</f>
        <v>1927.38</v>
      </c>
      <c r="G75" s="22"/>
      <c r="H75" s="23">
        <f t="shared" si="29"/>
        <v>1927.38</v>
      </c>
      <c r="I75" s="24" t="str">
        <f t="shared" si="30"/>
        <v/>
      </c>
      <c r="J75" s="23">
        <f>1714.45</f>
        <v>1714.45</v>
      </c>
      <c r="K75" s="22"/>
      <c r="L75" s="23">
        <f t="shared" si="31"/>
        <v>1714.45</v>
      </c>
      <c r="M75" s="24" t="str">
        <f t="shared" si="32"/>
        <v/>
      </c>
      <c r="N75" s="23">
        <f>191.15</f>
        <v>191.15</v>
      </c>
      <c r="O75" s="22"/>
      <c r="P75" s="23">
        <f t="shared" si="33"/>
        <v>191.15</v>
      </c>
      <c r="Q75" s="24" t="str">
        <f t="shared" si="34"/>
        <v/>
      </c>
      <c r="R75" s="23">
        <f>534.34</f>
        <v>534.34</v>
      </c>
      <c r="S75" s="22"/>
      <c r="T75" s="23">
        <f t="shared" si="35"/>
        <v>534.34</v>
      </c>
      <c r="U75" s="24" t="str">
        <f t="shared" si="36"/>
        <v/>
      </c>
      <c r="V75" s="23">
        <f>255.29</f>
        <v>255.29</v>
      </c>
      <c r="W75" s="22"/>
      <c r="X75" s="23">
        <f t="shared" si="37"/>
        <v>255.29</v>
      </c>
      <c r="Y75" s="24" t="str">
        <f t="shared" si="38"/>
        <v/>
      </c>
      <c r="Z75" s="23">
        <f>291.8</f>
        <v>291.8</v>
      </c>
      <c r="AA75" s="22"/>
      <c r="AB75" s="23">
        <f t="shared" si="39"/>
        <v>291.8</v>
      </c>
      <c r="AC75" s="24" t="str">
        <f t="shared" si="40"/>
        <v/>
      </c>
      <c r="AD75" s="23">
        <f>538.28</f>
        <v>538.28</v>
      </c>
      <c r="AE75" s="22"/>
      <c r="AF75" s="23">
        <f t="shared" si="41"/>
        <v>538.28</v>
      </c>
      <c r="AG75" s="24" t="str">
        <f t="shared" si="42"/>
        <v/>
      </c>
      <c r="AH75" s="23">
        <f>586.23</f>
        <v>586.23</v>
      </c>
      <c r="AI75" s="22"/>
      <c r="AJ75" s="23">
        <f t="shared" si="43"/>
        <v>586.23</v>
      </c>
      <c r="AK75" s="24" t="str">
        <f t="shared" si="44"/>
        <v/>
      </c>
      <c r="AL75" s="23">
        <f>1884.47</f>
        <v>1884.47</v>
      </c>
      <c r="AM75" s="22"/>
      <c r="AN75" s="23">
        <f t="shared" si="45"/>
        <v>1884.47</v>
      </c>
      <c r="AO75" s="24" t="str">
        <f t="shared" si="46"/>
        <v/>
      </c>
      <c r="AP75" s="23">
        <f>321.32</f>
        <v>321.32</v>
      </c>
      <c r="AQ75" s="22"/>
      <c r="AR75" s="23">
        <f t="shared" si="47"/>
        <v>321.32</v>
      </c>
      <c r="AS75" s="24" t="str">
        <f t="shared" si="48"/>
        <v/>
      </c>
      <c r="AT75" s="23">
        <f>607.8</f>
        <v>607.79999999999995</v>
      </c>
      <c r="AU75" s="22"/>
      <c r="AV75" s="23">
        <f t="shared" si="49"/>
        <v>607.79999999999995</v>
      </c>
      <c r="AW75" s="24" t="str">
        <f t="shared" si="50"/>
        <v/>
      </c>
      <c r="AX75" s="23">
        <f t="shared" si="54"/>
        <v>8971.5</v>
      </c>
      <c r="AY75" s="23">
        <f t="shared" si="54"/>
        <v>0</v>
      </c>
      <c r="AZ75" s="23">
        <f t="shared" si="52"/>
        <v>8971.5</v>
      </c>
      <c r="BA75" s="24" t="str">
        <f t="shared" si="53"/>
        <v/>
      </c>
    </row>
    <row r="76" spans="1:53" x14ac:dyDescent="0.3">
      <c r="A76" s="21" t="s">
        <v>153</v>
      </c>
      <c r="B76" s="25">
        <f>((B73)+(B74))+(B75)</f>
        <v>505.78000000000003</v>
      </c>
      <c r="C76" s="25">
        <f>((C73)+(C74))+(C75)</f>
        <v>0</v>
      </c>
      <c r="D76" s="25">
        <f t="shared" si="27"/>
        <v>505.78000000000003</v>
      </c>
      <c r="E76" s="26" t="str">
        <f t="shared" si="28"/>
        <v/>
      </c>
      <c r="F76" s="25">
        <f>((F73)+(F74))+(F75)</f>
        <v>1927.38</v>
      </c>
      <c r="G76" s="25">
        <f>((G73)+(G74))+(G75)</f>
        <v>0</v>
      </c>
      <c r="H76" s="25">
        <f t="shared" si="29"/>
        <v>1927.38</v>
      </c>
      <c r="I76" s="26" t="str">
        <f t="shared" si="30"/>
        <v/>
      </c>
      <c r="J76" s="25">
        <f>((J73)+(J74))+(J75)</f>
        <v>1918.72</v>
      </c>
      <c r="K76" s="25">
        <f>((K73)+(K74))+(K75)</f>
        <v>0</v>
      </c>
      <c r="L76" s="25">
        <f t="shared" si="31"/>
        <v>1918.72</v>
      </c>
      <c r="M76" s="26" t="str">
        <f t="shared" si="32"/>
        <v/>
      </c>
      <c r="N76" s="25">
        <f>((N73)+(N74))+(N75)</f>
        <v>1036.03</v>
      </c>
      <c r="O76" s="25">
        <f>((O73)+(O74))+(O75)</f>
        <v>0</v>
      </c>
      <c r="P76" s="25">
        <f t="shared" si="33"/>
        <v>1036.03</v>
      </c>
      <c r="Q76" s="26" t="str">
        <f t="shared" si="34"/>
        <v/>
      </c>
      <c r="R76" s="25">
        <f>((R73)+(R74))+(R75)</f>
        <v>534.34</v>
      </c>
      <c r="S76" s="25">
        <f>((S73)+(S74))+(S75)</f>
        <v>0</v>
      </c>
      <c r="T76" s="25">
        <f t="shared" si="35"/>
        <v>534.34</v>
      </c>
      <c r="U76" s="26" t="str">
        <f t="shared" si="36"/>
        <v/>
      </c>
      <c r="V76" s="25">
        <f>((V73)+(V74))+(V75)</f>
        <v>337.69</v>
      </c>
      <c r="W76" s="25">
        <f>((W73)+(W74))+(W75)</f>
        <v>0</v>
      </c>
      <c r="X76" s="25">
        <f t="shared" si="37"/>
        <v>337.69</v>
      </c>
      <c r="Y76" s="26" t="str">
        <f t="shared" si="38"/>
        <v/>
      </c>
      <c r="Z76" s="25">
        <f>((Z73)+(Z74))+(Z75)</f>
        <v>463.13</v>
      </c>
      <c r="AA76" s="25">
        <f>((AA73)+(AA74))+(AA75)</f>
        <v>0</v>
      </c>
      <c r="AB76" s="25">
        <f t="shared" si="39"/>
        <v>463.13</v>
      </c>
      <c r="AC76" s="26" t="str">
        <f t="shared" si="40"/>
        <v/>
      </c>
      <c r="AD76" s="25">
        <f>((AD73)+(AD74))+(AD75)</f>
        <v>1227.1799999999998</v>
      </c>
      <c r="AE76" s="25">
        <f>((AE73)+(AE74))+(AE75)</f>
        <v>0</v>
      </c>
      <c r="AF76" s="25">
        <f t="shared" si="41"/>
        <v>1227.1799999999998</v>
      </c>
      <c r="AG76" s="26" t="str">
        <f t="shared" si="42"/>
        <v/>
      </c>
      <c r="AH76" s="25">
        <f>((AH73)+(AH74))+(AH75)</f>
        <v>5643.83</v>
      </c>
      <c r="AI76" s="25">
        <f>((AI73)+(AI74))+(AI75)</f>
        <v>0</v>
      </c>
      <c r="AJ76" s="25">
        <f t="shared" si="43"/>
        <v>5643.83</v>
      </c>
      <c r="AK76" s="26" t="str">
        <f t="shared" si="44"/>
        <v/>
      </c>
      <c r="AL76" s="25">
        <f>((AL73)+(AL74))+(AL75)</f>
        <v>1884.47</v>
      </c>
      <c r="AM76" s="25">
        <f>((AM73)+(AM74))+(AM75)</f>
        <v>0</v>
      </c>
      <c r="AN76" s="25">
        <f t="shared" si="45"/>
        <v>1884.47</v>
      </c>
      <c r="AO76" s="26" t="str">
        <f t="shared" si="46"/>
        <v/>
      </c>
      <c r="AP76" s="25">
        <f>((AP73)+(AP74))+(AP75)</f>
        <v>321.32</v>
      </c>
      <c r="AQ76" s="25">
        <f>((AQ73)+(AQ74))+(AQ75)</f>
        <v>0</v>
      </c>
      <c r="AR76" s="25">
        <f t="shared" si="47"/>
        <v>321.32</v>
      </c>
      <c r="AS76" s="26" t="str">
        <f t="shared" si="48"/>
        <v/>
      </c>
      <c r="AT76" s="25">
        <f>((AT73)+(AT74))+(AT75)</f>
        <v>607.79999999999995</v>
      </c>
      <c r="AU76" s="25">
        <f>((AU73)+(AU74))+(AU75)</f>
        <v>0</v>
      </c>
      <c r="AV76" s="25">
        <f t="shared" si="49"/>
        <v>607.79999999999995</v>
      </c>
      <c r="AW76" s="26" t="str">
        <f t="shared" si="50"/>
        <v/>
      </c>
      <c r="AX76" s="25">
        <f t="shared" si="54"/>
        <v>16407.669999999998</v>
      </c>
      <c r="AY76" s="25">
        <f t="shared" si="54"/>
        <v>0</v>
      </c>
      <c r="AZ76" s="25">
        <f t="shared" si="52"/>
        <v>16407.669999999998</v>
      </c>
      <c r="BA76" s="26" t="str">
        <f t="shared" si="53"/>
        <v/>
      </c>
    </row>
    <row r="77" spans="1:53" x14ac:dyDescent="0.3">
      <c r="A77" s="21" t="s">
        <v>154</v>
      </c>
      <c r="B77" s="22"/>
      <c r="C77" s="22"/>
      <c r="D77" s="23">
        <f t="shared" si="27"/>
        <v>0</v>
      </c>
      <c r="E77" s="24" t="str">
        <f t="shared" si="28"/>
        <v/>
      </c>
      <c r="F77" s="22"/>
      <c r="G77" s="22"/>
      <c r="H77" s="23">
        <f t="shared" si="29"/>
        <v>0</v>
      </c>
      <c r="I77" s="24" t="str">
        <f t="shared" si="30"/>
        <v/>
      </c>
      <c r="J77" s="22"/>
      <c r="K77" s="22"/>
      <c r="L77" s="23">
        <f t="shared" si="31"/>
        <v>0</v>
      </c>
      <c r="M77" s="24" t="str">
        <f t="shared" si="32"/>
        <v/>
      </c>
      <c r="N77" s="22"/>
      <c r="O77" s="22"/>
      <c r="P77" s="23">
        <f t="shared" si="33"/>
        <v>0</v>
      </c>
      <c r="Q77" s="24" t="str">
        <f t="shared" si="34"/>
        <v/>
      </c>
      <c r="R77" s="22"/>
      <c r="S77" s="22"/>
      <c r="T77" s="23">
        <f t="shared" si="35"/>
        <v>0</v>
      </c>
      <c r="U77" s="24" t="str">
        <f t="shared" si="36"/>
        <v/>
      </c>
      <c r="V77" s="22"/>
      <c r="W77" s="22"/>
      <c r="X77" s="23">
        <f t="shared" si="37"/>
        <v>0</v>
      </c>
      <c r="Y77" s="24" t="str">
        <f t="shared" si="38"/>
        <v/>
      </c>
      <c r="Z77" s="22"/>
      <c r="AA77" s="22"/>
      <c r="AB77" s="23">
        <f t="shared" si="39"/>
        <v>0</v>
      </c>
      <c r="AC77" s="24" t="str">
        <f t="shared" si="40"/>
        <v/>
      </c>
      <c r="AD77" s="22"/>
      <c r="AE77" s="22"/>
      <c r="AF77" s="23">
        <f t="shared" si="41"/>
        <v>0</v>
      </c>
      <c r="AG77" s="24" t="str">
        <f t="shared" si="42"/>
        <v/>
      </c>
      <c r="AH77" s="22"/>
      <c r="AI77" s="22"/>
      <c r="AJ77" s="23">
        <f t="shared" si="43"/>
        <v>0</v>
      </c>
      <c r="AK77" s="24" t="str">
        <f t="shared" si="44"/>
        <v/>
      </c>
      <c r="AL77" s="22"/>
      <c r="AM77" s="22"/>
      <c r="AN77" s="23">
        <f t="shared" si="45"/>
        <v>0</v>
      </c>
      <c r="AO77" s="24" t="str">
        <f t="shared" si="46"/>
        <v/>
      </c>
      <c r="AP77" s="22"/>
      <c r="AQ77" s="22"/>
      <c r="AR77" s="23">
        <f t="shared" si="47"/>
        <v>0</v>
      </c>
      <c r="AS77" s="24" t="str">
        <f t="shared" si="48"/>
        <v/>
      </c>
      <c r="AT77" s="23">
        <f>118.75</f>
        <v>118.75</v>
      </c>
      <c r="AU77" s="22"/>
      <c r="AV77" s="23">
        <f t="shared" si="49"/>
        <v>118.75</v>
      </c>
      <c r="AW77" s="24" t="str">
        <f t="shared" si="50"/>
        <v/>
      </c>
      <c r="AX77" s="23">
        <f t="shared" si="54"/>
        <v>118.75</v>
      </c>
      <c r="AY77" s="23">
        <f t="shared" si="54"/>
        <v>0</v>
      </c>
      <c r="AZ77" s="23">
        <f t="shared" si="52"/>
        <v>118.75</v>
      </c>
      <c r="BA77" s="24" t="str">
        <f t="shared" si="53"/>
        <v/>
      </c>
    </row>
    <row r="78" spans="1:53" x14ac:dyDescent="0.3">
      <c r="A78" s="21" t="s">
        <v>155</v>
      </c>
      <c r="B78" s="22"/>
      <c r="C78" s="22"/>
      <c r="D78" s="23">
        <f t="shared" si="27"/>
        <v>0</v>
      </c>
      <c r="E78" s="24" t="str">
        <f t="shared" si="28"/>
        <v/>
      </c>
      <c r="F78" s="22"/>
      <c r="G78" s="22"/>
      <c r="H78" s="23">
        <f t="shared" si="29"/>
        <v>0</v>
      </c>
      <c r="I78" s="24" t="str">
        <f t="shared" si="30"/>
        <v/>
      </c>
      <c r="J78" s="22"/>
      <c r="K78" s="22"/>
      <c r="L78" s="23">
        <f t="shared" si="31"/>
        <v>0</v>
      </c>
      <c r="M78" s="24" t="str">
        <f t="shared" si="32"/>
        <v/>
      </c>
      <c r="N78" s="22"/>
      <c r="O78" s="22"/>
      <c r="P78" s="23">
        <f t="shared" si="33"/>
        <v>0</v>
      </c>
      <c r="Q78" s="24" t="str">
        <f t="shared" si="34"/>
        <v/>
      </c>
      <c r="R78" s="22"/>
      <c r="S78" s="22"/>
      <c r="T78" s="23">
        <f t="shared" si="35"/>
        <v>0</v>
      </c>
      <c r="U78" s="24" t="str">
        <f t="shared" si="36"/>
        <v/>
      </c>
      <c r="V78" s="22"/>
      <c r="W78" s="22"/>
      <c r="X78" s="23">
        <f t="shared" si="37"/>
        <v>0</v>
      </c>
      <c r="Y78" s="24" t="str">
        <f t="shared" si="38"/>
        <v/>
      </c>
      <c r="Z78" s="22"/>
      <c r="AA78" s="22"/>
      <c r="AB78" s="23">
        <f t="shared" si="39"/>
        <v>0</v>
      </c>
      <c r="AC78" s="24" t="str">
        <f t="shared" si="40"/>
        <v/>
      </c>
      <c r="AD78" s="22"/>
      <c r="AE78" s="22"/>
      <c r="AF78" s="23">
        <f t="shared" si="41"/>
        <v>0</v>
      </c>
      <c r="AG78" s="24" t="str">
        <f t="shared" si="42"/>
        <v/>
      </c>
      <c r="AH78" s="22"/>
      <c r="AI78" s="22"/>
      <c r="AJ78" s="23">
        <f t="shared" si="43"/>
        <v>0</v>
      </c>
      <c r="AK78" s="24" t="str">
        <f t="shared" si="44"/>
        <v/>
      </c>
      <c r="AL78" s="22"/>
      <c r="AM78" s="22"/>
      <c r="AN78" s="23">
        <f t="shared" si="45"/>
        <v>0</v>
      </c>
      <c r="AO78" s="24" t="str">
        <f t="shared" si="46"/>
        <v/>
      </c>
      <c r="AP78" s="22"/>
      <c r="AQ78" s="22"/>
      <c r="AR78" s="23">
        <f t="shared" si="47"/>
        <v>0</v>
      </c>
      <c r="AS78" s="24" t="str">
        <f t="shared" si="48"/>
        <v/>
      </c>
      <c r="AT78" s="22"/>
      <c r="AU78" s="22"/>
      <c r="AV78" s="23">
        <f t="shared" si="49"/>
        <v>0</v>
      </c>
      <c r="AW78" s="24" t="str">
        <f t="shared" si="50"/>
        <v/>
      </c>
      <c r="AX78" s="23">
        <f t="shared" si="54"/>
        <v>0</v>
      </c>
      <c r="AY78" s="23">
        <f t="shared" si="54"/>
        <v>0</v>
      </c>
      <c r="AZ78" s="23">
        <f t="shared" si="52"/>
        <v>0</v>
      </c>
      <c r="BA78" s="24" t="str">
        <f t="shared" si="53"/>
        <v/>
      </c>
    </row>
    <row r="79" spans="1:53" x14ac:dyDescent="0.3">
      <c r="A79" s="21" t="s">
        <v>156</v>
      </c>
      <c r="B79" s="23">
        <f>641.7</f>
        <v>641.70000000000005</v>
      </c>
      <c r="C79" s="22"/>
      <c r="D79" s="23">
        <f t="shared" si="27"/>
        <v>641.70000000000005</v>
      </c>
      <c r="E79" s="24" t="str">
        <f t="shared" si="28"/>
        <v/>
      </c>
      <c r="F79" s="23">
        <f>312.01</f>
        <v>312.01</v>
      </c>
      <c r="G79" s="22"/>
      <c r="H79" s="23">
        <f t="shared" si="29"/>
        <v>312.01</v>
      </c>
      <c r="I79" s="24" t="str">
        <f t="shared" si="30"/>
        <v/>
      </c>
      <c r="J79" s="23">
        <f>171.97</f>
        <v>171.97</v>
      </c>
      <c r="K79" s="22"/>
      <c r="L79" s="23">
        <f t="shared" si="31"/>
        <v>171.97</v>
      </c>
      <c r="M79" s="24" t="str">
        <f t="shared" si="32"/>
        <v/>
      </c>
      <c r="N79" s="23">
        <f>409.04</f>
        <v>409.04</v>
      </c>
      <c r="O79" s="22"/>
      <c r="P79" s="23">
        <f t="shared" si="33"/>
        <v>409.04</v>
      </c>
      <c r="Q79" s="24" t="str">
        <f t="shared" si="34"/>
        <v/>
      </c>
      <c r="R79" s="23">
        <f>312.93</f>
        <v>312.93</v>
      </c>
      <c r="S79" s="22"/>
      <c r="T79" s="23">
        <f t="shared" si="35"/>
        <v>312.93</v>
      </c>
      <c r="U79" s="24" t="str">
        <f t="shared" si="36"/>
        <v/>
      </c>
      <c r="V79" s="23">
        <f>190.38</f>
        <v>190.38</v>
      </c>
      <c r="W79" s="22"/>
      <c r="X79" s="23">
        <f t="shared" si="37"/>
        <v>190.38</v>
      </c>
      <c r="Y79" s="24" t="str">
        <f t="shared" si="38"/>
        <v/>
      </c>
      <c r="Z79" s="22"/>
      <c r="AA79" s="22"/>
      <c r="AB79" s="23">
        <f t="shared" si="39"/>
        <v>0</v>
      </c>
      <c r="AC79" s="24" t="str">
        <f t="shared" si="40"/>
        <v/>
      </c>
      <c r="AD79" s="23">
        <f>1500.22</f>
        <v>1500.22</v>
      </c>
      <c r="AE79" s="22"/>
      <c r="AF79" s="23">
        <f t="shared" si="41"/>
        <v>1500.22</v>
      </c>
      <c r="AG79" s="24" t="str">
        <f t="shared" si="42"/>
        <v/>
      </c>
      <c r="AH79" s="23">
        <f>77.51</f>
        <v>77.510000000000005</v>
      </c>
      <c r="AI79" s="22"/>
      <c r="AJ79" s="23">
        <f t="shared" si="43"/>
        <v>77.510000000000005</v>
      </c>
      <c r="AK79" s="24" t="str">
        <f t="shared" si="44"/>
        <v/>
      </c>
      <c r="AL79" s="23">
        <f>331.56</f>
        <v>331.56</v>
      </c>
      <c r="AM79" s="22"/>
      <c r="AN79" s="23">
        <f t="shared" si="45"/>
        <v>331.56</v>
      </c>
      <c r="AO79" s="24" t="str">
        <f t="shared" si="46"/>
        <v/>
      </c>
      <c r="AP79" s="23">
        <f>132.61</f>
        <v>132.61000000000001</v>
      </c>
      <c r="AQ79" s="22"/>
      <c r="AR79" s="23">
        <f t="shared" si="47"/>
        <v>132.61000000000001</v>
      </c>
      <c r="AS79" s="24" t="str">
        <f t="shared" si="48"/>
        <v/>
      </c>
      <c r="AT79" s="23">
        <f>232.19</f>
        <v>232.19</v>
      </c>
      <c r="AU79" s="22"/>
      <c r="AV79" s="23">
        <f t="shared" si="49"/>
        <v>232.19</v>
      </c>
      <c r="AW79" s="24" t="str">
        <f t="shared" si="50"/>
        <v/>
      </c>
      <c r="AX79" s="23">
        <f t="shared" si="54"/>
        <v>4312.12</v>
      </c>
      <c r="AY79" s="23">
        <f t="shared" si="54"/>
        <v>0</v>
      </c>
      <c r="AZ79" s="23">
        <f t="shared" si="52"/>
        <v>4312.12</v>
      </c>
      <c r="BA79" s="24" t="str">
        <f t="shared" si="53"/>
        <v/>
      </c>
    </row>
    <row r="80" spans="1:53" x14ac:dyDescent="0.3">
      <c r="A80" s="21" t="s">
        <v>157</v>
      </c>
      <c r="B80" s="23">
        <f>148.83</f>
        <v>148.83000000000001</v>
      </c>
      <c r="C80" s="22"/>
      <c r="D80" s="23">
        <f t="shared" si="27"/>
        <v>148.83000000000001</v>
      </c>
      <c r="E80" s="24" t="str">
        <f t="shared" si="28"/>
        <v/>
      </c>
      <c r="F80" s="23">
        <f>67.35</f>
        <v>67.349999999999994</v>
      </c>
      <c r="G80" s="22"/>
      <c r="H80" s="23">
        <f t="shared" si="29"/>
        <v>67.349999999999994</v>
      </c>
      <c r="I80" s="24" t="str">
        <f t="shared" si="30"/>
        <v/>
      </c>
      <c r="J80" s="23">
        <f>85.66</f>
        <v>85.66</v>
      </c>
      <c r="K80" s="22"/>
      <c r="L80" s="23">
        <f t="shared" si="31"/>
        <v>85.66</v>
      </c>
      <c r="M80" s="24" t="str">
        <f t="shared" si="32"/>
        <v/>
      </c>
      <c r="N80" s="23">
        <f>27.54</f>
        <v>27.54</v>
      </c>
      <c r="O80" s="22"/>
      <c r="P80" s="23">
        <f t="shared" si="33"/>
        <v>27.54</v>
      </c>
      <c r="Q80" s="24" t="str">
        <f t="shared" si="34"/>
        <v/>
      </c>
      <c r="R80" s="23">
        <f>256.73</f>
        <v>256.73</v>
      </c>
      <c r="S80" s="22"/>
      <c r="T80" s="23">
        <f t="shared" si="35"/>
        <v>256.73</v>
      </c>
      <c r="U80" s="24" t="str">
        <f t="shared" si="36"/>
        <v/>
      </c>
      <c r="V80" s="23">
        <f>78.46</f>
        <v>78.459999999999994</v>
      </c>
      <c r="W80" s="22"/>
      <c r="X80" s="23">
        <f t="shared" si="37"/>
        <v>78.459999999999994</v>
      </c>
      <c r="Y80" s="24" t="str">
        <f t="shared" si="38"/>
        <v/>
      </c>
      <c r="Z80" s="23">
        <f>4.63</f>
        <v>4.63</v>
      </c>
      <c r="AA80" s="22"/>
      <c r="AB80" s="23">
        <f t="shared" si="39"/>
        <v>4.63</v>
      </c>
      <c r="AC80" s="24" t="str">
        <f t="shared" si="40"/>
        <v/>
      </c>
      <c r="AD80" s="23">
        <f>31.67</f>
        <v>31.67</v>
      </c>
      <c r="AE80" s="22"/>
      <c r="AF80" s="23">
        <f t="shared" si="41"/>
        <v>31.67</v>
      </c>
      <c r="AG80" s="24" t="str">
        <f t="shared" si="42"/>
        <v/>
      </c>
      <c r="AH80" s="23">
        <f>166.35</f>
        <v>166.35</v>
      </c>
      <c r="AI80" s="22"/>
      <c r="AJ80" s="23">
        <f t="shared" si="43"/>
        <v>166.35</v>
      </c>
      <c r="AK80" s="24" t="str">
        <f t="shared" si="44"/>
        <v/>
      </c>
      <c r="AL80" s="23">
        <f>384.32</f>
        <v>384.32</v>
      </c>
      <c r="AM80" s="22"/>
      <c r="AN80" s="23">
        <f t="shared" si="45"/>
        <v>384.32</v>
      </c>
      <c r="AO80" s="24" t="str">
        <f t="shared" si="46"/>
        <v/>
      </c>
      <c r="AP80" s="23">
        <f>137.92</f>
        <v>137.91999999999999</v>
      </c>
      <c r="AQ80" s="22"/>
      <c r="AR80" s="23">
        <f t="shared" si="47"/>
        <v>137.91999999999999</v>
      </c>
      <c r="AS80" s="24" t="str">
        <f t="shared" si="48"/>
        <v/>
      </c>
      <c r="AT80" s="23">
        <f>129.45</f>
        <v>129.44999999999999</v>
      </c>
      <c r="AU80" s="22"/>
      <c r="AV80" s="23">
        <f t="shared" si="49"/>
        <v>129.44999999999999</v>
      </c>
      <c r="AW80" s="24" t="str">
        <f t="shared" si="50"/>
        <v/>
      </c>
      <c r="AX80" s="23">
        <f t="shared" si="54"/>
        <v>1518.9100000000003</v>
      </c>
      <c r="AY80" s="23">
        <f t="shared" si="54"/>
        <v>0</v>
      </c>
      <c r="AZ80" s="23">
        <f t="shared" si="52"/>
        <v>1518.9100000000003</v>
      </c>
      <c r="BA80" s="24" t="str">
        <f t="shared" si="53"/>
        <v/>
      </c>
    </row>
    <row r="81" spans="1:53" x14ac:dyDescent="0.3">
      <c r="A81" s="21" t="s">
        <v>158</v>
      </c>
      <c r="B81" s="22"/>
      <c r="C81" s="22"/>
      <c r="D81" s="23">
        <f t="shared" si="27"/>
        <v>0</v>
      </c>
      <c r="E81" s="24" t="str">
        <f t="shared" si="28"/>
        <v/>
      </c>
      <c r="F81" s="23">
        <f>562.99</f>
        <v>562.99</v>
      </c>
      <c r="G81" s="22"/>
      <c r="H81" s="23">
        <f t="shared" si="29"/>
        <v>562.99</v>
      </c>
      <c r="I81" s="24" t="str">
        <f t="shared" si="30"/>
        <v/>
      </c>
      <c r="J81" s="23">
        <f>237.92</f>
        <v>237.92</v>
      </c>
      <c r="K81" s="22"/>
      <c r="L81" s="23">
        <f t="shared" si="31"/>
        <v>237.92</v>
      </c>
      <c r="M81" s="24" t="str">
        <f t="shared" si="32"/>
        <v/>
      </c>
      <c r="N81" s="23">
        <f>612.99</f>
        <v>612.99</v>
      </c>
      <c r="O81" s="22"/>
      <c r="P81" s="23">
        <f t="shared" si="33"/>
        <v>612.99</v>
      </c>
      <c r="Q81" s="24" t="str">
        <f t="shared" si="34"/>
        <v/>
      </c>
      <c r="R81" s="23">
        <f>684.11</f>
        <v>684.11</v>
      </c>
      <c r="S81" s="22"/>
      <c r="T81" s="23">
        <f t="shared" si="35"/>
        <v>684.11</v>
      </c>
      <c r="U81" s="24" t="str">
        <f t="shared" si="36"/>
        <v/>
      </c>
      <c r="V81" s="23">
        <f>147.5</f>
        <v>147.5</v>
      </c>
      <c r="W81" s="22"/>
      <c r="X81" s="23">
        <f t="shared" si="37"/>
        <v>147.5</v>
      </c>
      <c r="Y81" s="24" t="str">
        <f t="shared" si="38"/>
        <v/>
      </c>
      <c r="Z81" s="23">
        <f>29.94</f>
        <v>29.94</v>
      </c>
      <c r="AA81" s="22"/>
      <c r="AB81" s="23">
        <f t="shared" si="39"/>
        <v>29.94</v>
      </c>
      <c r="AC81" s="24" t="str">
        <f t="shared" si="40"/>
        <v/>
      </c>
      <c r="AD81" s="23">
        <f>100.25</f>
        <v>100.25</v>
      </c>
      <c r="AE81" s="22"/>
      <c r="AF81" s="23">
        <f t="shared" si="41"/>
        <v>100.25</v>
      </c>
      <c r="AG81" s="24" t="str">
        <f t="shared" si="42"/>
        <v/>
      </c>
      <c r="AH81" s="23">
        <f>272.34</f>
        <v>272.33999999999997</v>
      </c>
      <c r="AI81" s="22"/>
      <c r="AJ81" s="23">
        <f t="shared" si="43"/>
        <v>272.33999999999997</v>
      </c>
      <c r="AK81" s="24" t="str">
        <f t="shared" si="44"/>
        <v/>
      </c>
      <c r="AL81" s="22"/>
      <c r="AM81" s="22"/>
      <c r="AN81" s="23">
        <f t="shared" si="45"/>
        <v>0</v>
      </c>
      <c r="AO81" s="24" t="str">
        <f t="shared" si="46"/>
        <v/>
      </c>
      <c r="AP81" s="23">
        <f>298.03</f>
        <v>298.02999999999997</v>
      </c>
      <c r="AQ81" s="22"/>
      <c r="AR81" s="23">
        <f t="shared" si="47"/>
        <v>298.02999999999997</v>
      </c>
      <c r="AS81" s="24" t="str">
        <f t="shared" si="48"/>
        <v/>
      </c>
      <c r="AT81" s="22"/>
      <c r="AU81" s="22"/>
      <c r="AV81" s="23">
        <f t="shared" si="49"/>
        <v>0</v>
      </c>
      <c r="AW81" s="24" t="str">
        <f t="shared" si="50"/>
        <v/>
      </c>
      <c r="AX81" s="23">
        <f t="shared" si="54"/>
        <v>2946.0700000000006</v>
      </c>
      <c r="AY81" s="23">
        <f t="shared" si="54"/>
        <v>0</v>
      </c>
      <c r="AZ81" s="23">
        <f t="shared" si="52"/>
        <v>2946.0700000000006</v>
      </c>
      <c r="BA81" s="24" t="str">
        <f t="shared" si="53"/>
        <v/>
      </c>
    </row>
    <row r="82" spans="1:53" x14ac:dyDescent="0.3">
      <c r="A82" s="21" t="s">
        <v>159</v>
      </c>
      <c r="B82" s="22"/>
      <c r="C82" s="22"/>
      <c r="D82" s="23">
        <f t="shared" si="27"/>
        <v>0</v>
      </c>
      <c r="E82" s="24" t="str">
        <f t="shared" si="28"/>
        <v/>
      </c>
      <c r="F82" s="22"/>
      <c r="G82" s="22"/>
      <c r="H82" s="23">
        <f t="shared" si="29"/>
        <v>0</v>
      </c>
      <c r="I82" s="24" t="str">
        <f t="shared" si="30"/>
        <v/>
      </c>
      <c r="J82" s="22"/>
      <c r="K82" s="22"/>
      <c r="L82" s="23">
        <f t="shared" si="31"/>
        <v>0</v>
      </c>
      <c r="M82" s="24" t="str">
        <f t="shared" si="32"/>
        <v/>
      </c>
      <c r="N82" s="22"/>
      <c r="O82" s="22"/>
      <c r="P82" s="23">
        <f t="shared" si="33"/>
        <v>0</v>
      </c>
      <c r="Q82" s="24" t="str">
        <f t="shared" si="34"/>
        <v/>
      </c>
      <c r="R82" s="22"/>
      <c r="S82" s="22"/>
      <c r="T82" s="23">
        <f t="shared" si="35"/>
        <v>0</v>
      </c>
      <c r="U82" s="24" t="str">
        <f t="shared" si="36"/>
        <v/>
      </c>
      <c r="V82" s="23">
        <f>73.54</f>
        <v>73.540000000000006</v>
      </c>
      <c r="W82" s="22"/>
      <c r="X82" s="23">
        <f t="shared" si="37"/>
        <v>73.540000000000006</v>
      </c>
      <c r="Y82" s="24" t="str">
        <f t="shared" si="38"/>
        <v/>
      </c>
      <c r="Z82" s="23">
        <f>23.1</f>
        <v>23.1</v>
      </c>
      <c r="AA82" s="22"/>
      <c r="AB82" s="23">
        <f t="shared" si="39"/>
        <v>23.1</v>
      </c>
      <c r="AC82" s="24" t="str">
        <f t="shared" si="40"/>
        <v/>
      </c>
      <c r="AD82" s="22"/>
      <c r="AE82" s="22"/>
      <c r="AF82" s="23">
        <f t="shared" si="41"/>
        <v>0</v>
      </c>
      <c r="AG82" s="24" t="str">
        <f t="shared" si="42"/>
        <v/>
      </c>
      <c r="AH82" s="23">
        <f>995.42</f>
        <v>995.42</v>
      </c>
      <c r="AI82" s="22"/>
      <c r="AJ82" s="23">
        <f t="shared" si="43"/>
        <v>995.42</v>
      </c>
      <c r="AK82" s="24" t="str">
        <f t="shared" si="44"/>
        <v/>
      </c>
      <c r="AL82" s="23">
        <f>537.14</f>
        <v>537.14</v>
      </c>
      <c r="AM82" s="22"/>
      <c r="AN82" s="23">
        <f t="shared" si="45"/>
        <v>537.14</v>
      </c>
      <c r="AO82" s="24" t="str">
        <f t="shared" si="46"/>
        <v/>
      </c>
      <c r="AP82" s="22"/>
      <c r="AQ82" s="22"/>
      <c r="AR82" s="23">
        <f t="shared" si="47"/>
        <v>0</v>
      </c>
      <c r="AS82" s="24" t="str">
        <f t="shared" si="48"/>
        <v/>
      </c>
      <c r="AT82" s="23">
        <f>117.23</f>
        <v>117.23</v>
      </c>
      <c r="AU82" s="22"/>
      <c r="AV82" s="23">
        <f t="shared" si="49"/>
        <v>117.23</v>
      </c>
      <c r="AW82" s="24" t="str">
        <f t="shared" si="50"/>
        <v/>
      </c>
      <c r="AX82" s="23">
        <f t="shared" si="54"/>
        <v>1746.4299999999998</v>
      </c>
      <c r="AY82" s="23">
        <f t="shared" si="54"/>
        <v>0</v>
      </c>
      <c r="AZ82" s="23">
        <f t="shared" si="52"/>
        <v>1746.4299999999998</v>
      </c>
      <c r="BA82" s="24" t="str">
        <f t="shared" si="53"/>
        <v/>
      </c>
    </row>
    <row r="83" spans="1:53" x14ac:dyDescent="0.3">
      <c r="A83" s="21" t="s">
        <v>160</v>
      </c>
      <c r="B83" s="25">
        <f>((((B78)+(B79))+(B80))+(B81))+(B82)</f>
        <v>790.53000000000009</v>
      </c>
      <c r="C83" s="25">
        <f>((((C78)+(C79))+(C80))+(C81))+(C82)</f>
        <v>0</v>
      </c>
      <c r="D83" s="25">
        <f t="shared" si="27"/>
        <v>790.53000000000009</v>
      </c>
      <c r="E83" s="26" t="str">
        <f t="shared" si="28"/>
        <v/>
      </c>
      <c r="F83" s="25">
        <f>((((F78)+(F79))+(F80))+(F81))+(F82)</f>
        <v>942.35</v>
      </c>
      <c r="G83" s="25">
        <f>((((G78)+(G79))+(G80))+(G81))+(G82)</f>
        <v>0</v>
      </c>
      <c r="H83" s="25">
        <f t="shared" si="29"/>
        <v>942.35</v>
      </c>
      <c r="I83" s="26" t="str">
        <f t="shared" si="30"/>
        <v/>
      </c>
      <c r="J83" s="25">
        <f>((((J78)+(J79))+(J80))+(J81))+(J82)</f>
        <v>495.54999999999995</v>
      </c>
      <c r="K83" s="25">
        <f>((((K78)+(K79))+(K80))+(K81))+(K82)</f>
        <v>0</v>
      </c>
      <c r="L83" s="25">
        <f t="shared" si="31"/>
        <v>495.54999999999995</v>
      </c>
      <c r="M83" s="26" t="str">
        <f t="shared" si="32"/>
        <v/>
      </c>
      <c r="N83" s="25">
        <f>((((N78)+(N79))+(N80))+(N81))+(N82)</f>
        <v>1049.5700000000002</v>
      </c>
      <c r="O83" s="25">
        <f>((((O78)+(O79))+(O80))+(O81))+(O82)</f>
        <v>0</v>
      </c>
      <c r="P83" s="25">
        <f t="shared" si="33"/>
        <v>1049.5700000000002</v>
      </c>
      <c r="Q83" s="26" t="str">
        <f t="shared" si="34"/>
        <v/>
      </c>
      <c r="R83" s="25">
        <f>((((R78)+(R79))+(R80))+(R81))+(R82)</f>
        <v>1253.77</v>
      </c>
      <c r="S83" s="25">
        <f>((((S78)+(S79))+(S80))+(S81))+(S82)</f>
        <v>0</v>
      </c>
      <c r="T83" s="25">
        <f t="shared" si="35"/>
        <v>1253.77</v>
      </c>
      <c r="U83" s="26" t="str">
        <f t="shared" si="36"/>
        <v/>
      </c>
      <c r="V83" s="25">
        <f>((((V78)+(V79))+(V80))+(V81))+(V82)</f>
        <v>489.88</v>
      </c>
      <c r="W83" s="25">
        <f>((((W78)+(W79))+(W80))+(W81))+(W82)</f>
        <v>0</v>
      </c>
      <c r="X83" s="25">
        <f t="shared" si="37"/>
        <v>489.88</v>
      </c>
      <c r="Y83" s="26" t="str">
        <f t="shared" si="38"/>
        <v/>
      </c>
      <c r="Z83" s="25">
        <f>((((Z78)+(Z79))+(Z80))+(Z81))+(Z82)</f>
        <v>57.67</v>
      </c>
      <c r="AA83" s="25">
        <f>((((AA78)+(AA79))+(AA80))+(AA81))+(AA82)</f>
        <v>0</v>
      </c>
      <c r="AB83" s="25">
        <f t="shared" si="39"/>
        <v>57.67</v>
      </c>
      <c r="AC83" s="26" t="str">
        <f t="shared" si="40"/>
        <v/>
      </c>
      <c r="AD83" s="25">
        <f>((((AD78)+(AD79))+(AD80))+(AD81))+(AD82)</f>
        <v>1632.14</v>
      </c>
      <c r="AE83" s="25">
        <f>((((AE78)+(AE79))+(AE80))+(AE81))+(AE82)</f>
        <v>0</v>
      </c>
      <c r="AF83" s="25">
        <f t="shared" si="41"/>
        <v>1632.14</v>
      </c>
      <c r="AG83" s="26" t="str">
        <f t="shared" si="42"/>
        <v/>
      </c>
      <c r="AH83" s="25">
        <f>((((AH78)+(AH79))+(AH80))+(AH81))+(AH82)</f>
        <v>1511.62</v>
      </c>
      <c r="AI83" s="25">
        <f>((((AI78)+(AI79))+(AI80))+(AI81))+(AI82)</f>
        <v>0</v>
      </c>
      <c r="AJ83" s="25">
        <f t="shared" si="43"/>
        <v>1511.62</v>
      </c>
      <c r="AK83" s="26" t="str">
        <f t="shared" si="44"/>
        <v/>
      </c>
      <c r="AL83" s="25">
        <f>((((AL78)+(AL79))+(AL80))+(AL81))+(AL82)</f>
        <v>1253.02</v>
      </c>
      <c r="AM83" s="25">
        <f>((((AM78)+(AM79))+(AM80))+(AM81))+(AM82)</f>
        <v>0</v>
      </c>
      <c r="AN83" s="25">
        <f t="shared" si="45"/>
        <v>1253.02</v>
      </c>
      <c r="AO83" s="26" t="str">
        <f t="shared" si="46"/>
        <v/>
      </c>
      <c r="AP83" s="25">
        <f>((((AP78)+(AP79))+(AP80))+(AP81))+(AP82)</f>
        <v>568.55999999999995</v>
      </c>
      <c r="AQ83" s="25">
        <f>((((AQ78)+(AQ79))+(AQ80))+(AQ81))+(AQ82)</f>
        <v>0</v>
      </c>
      <c r="AR83" s="25">
        <f t="shared" si="47"/>
        <v>568.55999999999995</v>
      </c>
      <c r="AS83" s="26" t="str">
        <f t="shared" si="48"/>
        <v/>
      </c>
      <c r="AT83" s="25">
        <f>((((AT78)+(AT79))+(AT80))+(AT81))+(AT82)</f>
        <v>478.87</v>
      </c>
      <c r="AU83" s="25">
        <f>((((AU78)+(AU79))+(AU80))+(AU81))+(AU82)</f>
        <v>0</v>
      </c>
      <c r="AV83" s="25">
        <f t="shared" si="49"/>
        <v>478.87</v>
      </c>
      <c r="AW83" s="26" t="str">
        <f t="shared" si="50"/>
        <v/>
      </c>
      <c r="AX83" s="25">
        <f t="shared" si="54"/>
        <v>10523.530000000002</v>
      </c>
      <c r="AY83" s="25">
        <f t="shared" si="54"/>
        <v>0</v>
      </c>
      <c r="AZ83" s="25">
        <f t="shared" si="52"/>
        <v>10523.530000000002</v>
      </c>
      <c r="BA83" s="26" t="str">
        <f t="shared" si="53"/>
        <v/>
      </c>
    </row>
    <row r="84" spans="1:53" x14ac:dyDescent="0.3">
      <c r="A84" s="21" t="s">
        <v>161</v>
      </c>
      <c r="B84" s="23">
        <f>472.05</f>
        <v>472.05</v>
      </c>
      <c r="C84" s="22"/>
      <c r="D84" s="23">
        <f t="shared" ref="D84:D100" si="55">(B84)-(C84)</f>
        <v>472.05</v>
      </c>
      <c r="E84" s="24" t="str">
        <f t="shared" ref="E84:E100" si="56">IF(C84=0,"",(B84)/(C84))</f>
        <v/>
      </c>
      <c r="F84" s="23">
        <f>6733.79</f>
        <v>6733.79</v>
      </c>
      <c r="G84" s="22"/>
      <c r="H84" s="23">
        <f t="shared" ref="H84:H100" si="57">(F84)-(G84)</f>
        <v>6733.79</v>
      </c>
      <c r="I84" s="24" t="str">
        <f t="shared" ref="I84:I100" si="58">IF(G84=0,"",(F84)/(G84))</f>
        <v/>
      </c>
      <c r="J84" s="23">
        <f>1032.52</f>
        <v>1032.52</v>
      </c>
      <c r="K84" s="22"/>
      <c r="L84" s="23">
        <f t="shared" ref="L84:L100" si="59">(J84)-(K84)</f>
        <v>1032.52</v>
      </c>
      <c r="M84" s="24" t="str">
        <f t="shared" ref="M84:M100" si="60">IF(K84=0,"",(J84)/(K84))</f>
        <v/>
      </c>
      <c r="N84" s="23">
        <f>3635.2</f>
        <v>3635.2</v>
      </c>
      <c r="O84" s="22"/>
      <c r="P84" s="23">
        <f t="shared" ref="P84:P100" si="61">(N84)-(O84)</f>
        <v>3635.2</v>
      </c>
      <c r="Q84" s="24" t="str">
        <f t="shared" ref="Q84:Q100" si="62">IF(O84=0,"",(N84)/(O84))</f>
        <v/>
      </c>
      <c r="R84" s="23">
        <f>870.42</f>
        <v>870.42</v>
      </c>
      <c r="S84" s="22"/>
      <c r="T84" s="23">
        <f t="shared" ref="T84:T100" si="63">(R84)-(S84)</f>
        <v>870.42</v>
      </c>
      <c r="U84" s="24" t="str">
        <f t="shared" ref="U84:U100" si="64">IF(S84=0,"",(R84)/(S84))</f>
        <v/>
      </c>
      <c r="V84" s="23">
        <f>5395.76</f>
        <v>5395.76</v>
      </c>
      <c r="W84" s="22"/>
      <c r="X84" s="23">
        <f t="shared" ref="X84:X100" si="65">(V84)-(W84)</f>
        <v>5395.76</v>
      </c>
      <c r="Y84" s="24" t="str">
        <f t="shared" ref="Y84:Y100" si="66">IF(W84=0,"",(V84)/(W84))</f>
        <v/>
      </c>
      <c r="Z84" s="22"/>
      <c r="AA84" s="22"/>
      <c r="AB84" s="23">
        <f t="shared" ref="AB84:AB100" si="67">(Z84)-(AA84)</f>
        <v>0</v>
      </c>
      <c r="AC84" s="24" t="str">
        <f t="shared" ref="AC84:AC100" si="68">IF(AA84=0,"",(Z84)/(AA84))</f>
        <v/>
      </c>
      <c r="AD84" s="23">
        <f>100.78</f>
        <v>100.78</v>
      </c>
      <c r="AE84" s="22"/>
      <c r="AF84" s="23">
        <f t="shared" ref="AF84:AF100" si="69">(AD84)-(AE84)</f>
        <v>100.78</v>
      </c>
      <c r="AG84" s="24" t="str">
        <f t="shared" ref="AG84:AG100" si="70">IF(AE84=0,"",(AD84)/(AE84))</f>
        <v/>
      </c>
      <c r="AH84" s="22"/>
      <c r="AI84" s="22"/>
      <c r="AJ84" s="23">
        <f t="shared" ref="AJ84:AJ100" si="71">(AH84)-(AI84)</f>
        <v>0</v>
      </c>
      <c r="AK84" s="24" t="str">
        <f t="shared" ref="AK84:AK100" si="72">IF(AI84=0,"",(AH84)/(AI84))</f>
        <v/>
      </c>
      <c r="AL84" s="22"/>
      <c r="AM84" s="22"/>
      <c r="AN84" s="23">
        <f t="shared" ref="AN84:AN100" si="73">(AL84)-(AM84)</f>
        <v>0</v>
      </c>
      <c r="AO84" s="24" t="str">
        <f t="shared" ref="AO84:AO100" si="74">IF(AM84=0,"",(AL84)/(AM84))</f>
        <v/>
      </c>
      <c r="AP84" s="23">
        <f>122.12</f>
        <v>122.12</v>
      </c>
      <c r="AQ84" s="22"/>
      <c r="AR84" s="23">
        <f t="shared" ref="AR84:AR100" si="75">(AP84)-(AQ84)</f>
        <v>122.12</v>
      </c>
      <c r="AS84" s="24" t="str">
        <f t="shared" ref="AS84:AS100" si="76">IF(AQ84=0,"",(AP84)/(AQ84))</f>
        <v/>
      </c>
      <c r="AT84" s="22"/>
      <c r="AU84" s="22"/>
      <c r="AV84" s="23">
        <f t="shared" ref="AV84:AV100" si="77">(AT84)-(AU84)</f>
        <v>0</v>
      </c>
      <c r="AW84" s="24" t="str">
        <f t="shared" ref="AW84:AW100" si="78">IF(AU84=0,"",(AT84)/(AU84))</f>
        <v/>
      </c>
      <c r="AX84" s="23">
        <f t="shared" ref="AX84:AY100" si="79">(((((((((((B84)+(F84))+(J84))+(N84))+(R84))+(V84))+(Z84))+(AD84))+(AH84))+(AL84))+(AP84))+(AT84)</f>
        <v>18362.64</v>
      </c>
      <c r="AY84" s="23">
        <f t="shared" si="79"/>
        <v>0</v>
      </c>
      <c r="AZ84" s="23">
        <f t="shared" ref="AZ84:AZ100" si="80">(AX84)-(AY84)</f>
        <v>18362.64</v>
      </c>
      <c r="BA84" s="24" t="str">
        <f t="shared" ref="BA84:BA100" si="81">IF(AY84=0,"",(AX84)/(AY84))</f>
        <v/>
      </c>
    </row>
    <row r="85" spans="1:53" x14ac:dyDescent="0.3">
      <c r="A85" s="21" t="s">
        <v>162</v>
      </c>
      <c r="B85" s="22"/>
      <c r="C85" s="22"/>
      <c r="D85" s="23">
        <f t="shared" si="55"/>
        <v>0</v>
      </c>
      <c r="E85" s="24" t="str">
        <f t="shared" si="56"/>
        <v/>
      </c>
      <c r="F85" s="22"/>
      <c r="G85" s="22"/>
      <c r="H85" s="23">
        <f t="shared" si="57"/>
        <v>0</v>
      </c>
      <c r="I85" s="24" t="str">
        <f t="shared" si="58"/>
        <v/>
      </c>
      <c r="J85" s="22"/>
      <c r="K85" s="22"/>
      <c r="L85" s="23">
        <f t="shared" si="59"/>
        <v>0</v>
      </c>
      <c r="M85" s="24" t="str">
        <f t="shared" si="60"/>
        <v/>
      </c>
      <c r="N85" s="22"/>
      <c r="O85" s="22"/>
      <c r="P85" s="23">
        <f t="shared" si="61"/>
        <v>0</v>
      </c>
      <c r="Q85" s="24" t="str">
        <f t="shared" si="62"/>
        <v/>
      </c>
      <c r="R85" s="22"/>
      <c r="S85" s="22"/>
      <c r="T85" s="23">
        <f t="shared" si="63"/>
        <v>0</v>
      </c>
      <c r="U85" s="24" t="str">
        <f t="shared" si="64"/>
        <v/>
      </c>
      <c r="V85" s="22"/>
      <c r="W85" s="22"/>
      <c r="X85" s="23">
        <f t="shared" si="65"/>
        <v>0</v>
      </c>
      <c r="Y85" s="24" t="str">
        <f t="shared" si="66"/>
        <v/>
      </c>
      <c r="Z85" s="22"/>
      <c r="AA85" s="22"/>
      <c r="AB85" s="23">
        <f t="shared" si="67"/>
        <v>0</v>
      </c>
      <c r="AC85" s="24" t="str">
        <f t="shared" si="68"/>
        <v/>
      </c>
      <c r="AD85" s="22"/>
      <c r="AE85" s="22"/>
      <c r="AF85" s="23">
        <f t="shared" si="69"/>
        <v>0</v>
      </c>
      <c r="AG85" s="24" t="str">
        <f t="shared" si="70"/>
        <v/>
      </c>
      <c r="AH85" s="22"/>
      <c r="AI85" s="22"/>
      <c r="AJ85" s="23">
        <f t="shared" si="71"/>
        <v>0</v>
      </c>
      <c r="AK85" s="24" t="str">
        <f t="shared" si="72"/>
        <v/>
      </c>
      <c r="AL85" s="22"/>
      <c r="AM85" s="22"/>
      <c r="AN85" s="23">
        <f t="shared" si="73"/>
        <v>0</v>
      </c>
      <c r="AO85" s="24" t="str">
        <f t="shared" si="74"/>
        <v/>
      </c>
      <c r="AP85" s="22"/>
      <c r="AQ85" s="22"/>
      <c r="AR85" s="23">
        <f t="shared" si="75"/>
        <v>0</v>
      </c>
      <c r="AS85" s="24" t="str">
        <f t="shared" si="76"/>
        <v/>
      </c>
      <c r="AT85" s="22"/>
      <c r="AU85" s="22"/>
      <c r="AV85" s="23">
        <f t="shared" si="77"/>
        <v>0</v>
      </c>
      <c r="AW85" s="24" t="str">
        <f t="shared" si="78"/>
        <v/>
      </c>
      <c r="AX85" s="23">
        <f t="shared" si="79"/>
        <v>0</v>
      </c>
      <c r="AY85" s="23">
        <f t="shared" si="79"/>
        <v>0</v>
      </c>
      <c r="AZ85" s="23">
        <f t="shared" si="80"/>
        <v>0</v>
      </c>
      <c r="BA85" s="24" t="str">
        <f t="shared" si="81"/>
        <v/>
      </c>
    </row>
    <row r="86" spans="1:53" x14ac:dyDescent="0.3">
      <c r="A86" s="21" t="s">
        <v>163</v>
      </c>
      <c r="B86" s="23">
        <f>2395</f>
        <v>2395</v>
      </c>
      <c r="C86" s="22"/>
      <c r="D86" s="23">
        <f t="shared" si="55"/>
        <v>2395</v>
      </c>
      <c r="E86" s="24" t="str">
        <f t="shared" si="56"/>
        <v/>
      </c>
      <c r="F86" s="23">
        <f>2395</f>
        <v>2395</v>
      </c>
      <c r="G86" s="22"/>
      <c r="H86" s="23">
        <f t="shared" si="57"/>
        <v>2395</v>
      </c>
      <c r="I86" s="24" t="str">
        <f t="shared" si="58"/>
        <v/>
      </c>
      <c r="J86" s="23">
        <f>2395</f>
        <v>2395</v>
      </c>
      <c r="K86" s="22"/>
      <c r="L86" s="23">
        <f t="shared" si="59"/>
        <v>2395</v>
      </c>
      <c r="M86" s="24" t="str">
        <f t="shared" si="60"/>
        <v/>
      </c>
      <c r="N86" s="23">
        <f>2395</f>
        <v>2395</v>
      </c>
      <c r="O86" s="22"/>
      <c r="P86" s="23">
        <f t="shared" si="61"/>
        <v>2395</v>
      </c>
      <c r="Q86" s="24" t="str">
        <f t="shared" si="62"/>
        <v/>
      </c>
      <c r="R86" s="23">
        <f>2395</f>
        <v>2395</v>
      </c>
      <c r="S86" s="22"/>
      <c r="T86" s="23">
        <f t="shared" si="63"/>
        <v>2395</v>
      </c>
      <c r="U86" s="24" t="str">
        <f t="shared" si="64"/>
        <v/>
      </c>
      <c r="V86" s="23">
        <f>2395</f>
        <v>2395</v>
      </c>
      <c r="W86" s="22"/>
      <c r="X86" s="23">
        <f t="shared" si="65"/>
        <v>2395</v>
      </c>
      <c r="Y86" s="24" t="str">
        <f t="shared" si="66"/>
        <v/>
      </c>
      <c r="Z86" s="23">
        <f>2395</f>
        <v>2395</v>
      </c>
      <c r="AA86" s="22"/>
      <c r="AB86" s="23">
        <f t="shared" si="67"/>
        <v>2395</v>
      </c>
      <c r="AC86" s="24" t="str">
        <f t="shared" si="68"/>
        <v/>
      </c>
      <c r="AD86" s="23">
        <f>2395</f>
        <v>2395</v>
      </c>
      <c r="AE86" s="22"/>
      <c r="AF86" s="23">
        <f t="shared" si="69"/>
        <v>2395</v>
      </c>
      <c r="AG86" s="24" t="str">
        <f t="shared" si="70"/>
        <v/>
      </c>
      <c r="AH86" s="23">
        <f>2395</f>
        <v>2395</v>
      </c>
      <c r="AI86" s="22"/>
      <c r="AJ86" s="23">
        <f t="shared" si="71"/>
        <v>2395</v>
      </c>
      <c r="AK86" s="24" t="str">
        <f t="shared" si="72"/>
        <v/>
      </c>
      <c r="AL86" s="22"/>
      <c r="AM86" s="22"/>
      <c r="AN86" s="23">
        <f t="shared" si="73"/>
        <v>0</v>
      </c>
      <c r="AO86" s="24" t="str">
        <f t="shared" si="74"/>
        <v/>
      </c>
      <c r="AP86" s="23">
        <f>4790</f>
        <v>4790</v>
      </c>
      <c r="AQ86" s="22"/>
      <c r="AR86" s="23">
        <f t="shared" si="75"/>
        <v>4790</v>
      </c>
      <c r="AS86" s="24" t="str">
        <f t="shared" si="76"/>
        <v/>
      </c>
      <c r="AT86" s="23">
        <f>2595</f>
        <v>2595</v>
      </c>
      <c r="AU86" s="22"/>
      <c r="AV86" s="23">
        <f t="shared" si="77"/>
        <v>2595</v>
      </c>
      <c r="AW86" s="24" t="str">
        <f t="shared" si="78"/>
        <v/>
      </c>
      <c r="AX86" s="23">
        <f t="shared" si="79"/>
        <v>28940</v>
      </c>
      <c r="AY86" s="23">
        <f t="shared" si="79"/>
        <v>0</v>
      </c>
      <c r="AZ86" s="23">
        <f t="shared" si="80"/>
        <v>28940</v>
      </c>
      <c r="BA86" s="24" t="str">
        <f t="shared" si="81"/>
        <v/>
      </c>
    </row>
    <row r="87" spans="1:53" x14ac:dyDescent="0.3">
      <c r="A87" s="21" t="s">
        <v>164</v>
      </c>
      <c r="B87" s="22"/>
      <c r="C87" s="22"/>
      <c r="D87" s="23">
        <f t="shared" si="55"/>
        <v>0</v>
      </c>
      <c r="E87" s="24" t="str">
        <f t="shared" si="56"/>
        <v/>
      </c>
      <c r="F87" s="22"/>
      <c r="G87" s="22"/>
      <c r="H87" s="23">
        <f t="shared" si="57"/>
        <v>0</v>
      </c>
      <c r="I87" s="24" t="str">
        <f t="shared" si="58"/>
        <v/>
      </c>
      <c r="J87" s="23">
        <f>169.8</f>
        <v>169.8</v>
      </c>
      <c r="K87" s="22"/>
      <c r="L87" s="23">
        <f t="shared" si="59"/>
        <v>169.8</v>
      </c>
      <c r="M87" s="24" t="str">
        <f t="shared" si="60"/>
        <v/>
      </c>
      <c r="N87" s="23">
        <f>895</f>
        <v>895</v>
      </c>
      <c r="O87" s="22"/>
      <c r="P87" s="23">
        <f t="shared" si="61"/>
        <v>895</v>
      </c>
      <c r="Q87" s="24" t="str">
        <f t="shared" si="62"/>
        <v/>
      </c>
      <c r="R87" s="22"/>
      <c r="S87" s="22"/>
      <c r="T87" s="23">
        <f t="shared" si="63"/>
        <v>0</v>
      </c>
      <c r="U87" s="24" t="str">
        <f t="shared" si="64"/>
        <v/>
      </c>
      <c r="V87" s="23">
        <f>359</f>
        <v>359</v>
      </c>
      <c r="W87" s="22"/>
      <c r="X87" s="23">
        <f t="shared" si="65"/>
        <v>359</v>
      </c>
      <c r="Y87" s="24" t="str">
        <f t="shared" si="66"/>
        <v/>
      </c>
      <c r="Z87" s="23">
        <f>604.03</f>
        <v>604.03</v>
      </c>
      <c r="AA87" s="22"/>
      <c r="AB87" s="23">
        <f t="shared" si="67"/>
        <v>604.03</v>
      </c>
      <c r="AC87" s="24" t="str">
        <f t="shared" si="68"/>
        <v/>
      </c>
      <c r="AD87" s="22"/>
      <c r="AE87" s="22"/>
      <c r="AF87" s="23">
        <f t="shared" si="69"/>
        <v>0</v>
      </c>
      <c r="AG87" s="24" t="str">
        <f t="shared" si="70"/>
        <v/>
      </c>
      <c r="AH87" s="23">
        <f>202.45</f>
        <v>202.45</v>
      </c>
      <c r="AI87" s="22"/>
      <c r="AJ87" s="23">
        <f t="shared" si="71"/>
        <v>202.45</v>
      </c>
      <c r="AK87" s="24" t="str">
        <f t="shared" si="72"/>
        <v/>
      </c>
      <c r="AL87" s="22"/>
      <c r="AM87" s="22"/>
      <c r="AN87" s="23">
        <f t="shared" si="73"/>
        <v>0</v>
      </c>
      <c r="AO87" s="24" t="str">
        <f t="shared" si="74"/>
        <v/>
      </c>
      <c r="AP87" s="22"/>
      <c r="AQ87" s="22"/>
      <c r="AR87" s="23">
        <f t="shared" si="75"/>
        <v>0</v>
      </c>
      <c r="AS87" s="24" t="str">
        <f t="shared" si="76"/>
        <v/>
      </c>
      <c r="AT87" s="22"/>
      <c r="AU87" s="22"/>
      <c r="AV87" s="23">
        <f t="shared" si="77"/>
        <v>0</v>
      </c>
      <c r="AW87" s="24" t="str">
        <f t="shared" si="78"/>
        <v/>
      </c>
      <c r="AX87" s="23">
        <f t="shared" si="79"/>
        <v>2230.2799999999997</v>
      </c>
      <c r="AY87" s="23">
        <f t="shared" si="79"/>
        <v>0</v>
      </c>
      <c r="AZ87" s="23">
        <f t="shared" si="80"/>
        <v>2230.2799999999997</v>
      </c>
      <c r="BA87" s="24" t="str">
        <f t="shared" si="81"/>
        <v/>
      </c>
    </row>
    <row r="88" spans="1:53" x14ac:dyDescent="0.3">
      <c r="A88" s="21" t="s">
        <v>165</v>
      </c>
      <c r="B88" s="22"/>
      <c r="C88" s="22"/>
      <c r="D88" s="23">
        <f t="shared" si="55"/>
        <v>0</v>
      </c>
      <c r="E88" s="24" t="str">
        <f t="shared" si="56"/>
        <v/>
      </c>
      <c r="F88" s="23">
        <f>3280</f>
        <v>3280</v>
      </c>
      <c r="G88" s="22"/>
      <c r="H88" s="23">
        <f t="shared" si="57"/>
        <v>3280</v>
      </c>
      <c r="I88" s="24" t="str">
        <f t="shared" si="58"/>
        <v/>
      </c>
      <c r="J88" s="22"/>
      <c r="K88" s="22"/>
      <c r="L88" s="23">
        <f t="shared" si="59"/>
        <v>0</v>
      </c>
      <c r="M88" s="24" t="str">
        <f t="shared" si="60"/>
        <v/>
      </c>
      <c r="N88" s="22"/>
      <c r="O88" s="22"/>
      <c r="P88" s="23">
        <f t="shared" si="61"/>
        <v>0</v>
      </c>
      <c r="Q88" s="24" t="str">
        <f t="shared" si="62"/>
        <v/>
      </c>
      <c r="R88" s="22"/>
      <c r="S88" s="22"/>
      <c r="T88" s="23">
        <f t="shared" si="63"/>
        <v>0</v>
      </c>
      <c r="U88" s="24" t="str">
        <f t="shared" si="64"/>
        <v/>
      </c>
      <c r="V88" s="22"/>
      <c r="W88" s="22"/>
      <c r="X88" s="23">
        <f t="shared" si="65"/>
        <v>0</v>
      </c>
      <c r="Y88" s="24" t="str">
        <f t="shared" si="66"/>
        <v/>
      </c>
      <c r="Z88" s="22"/>
      <c r="AA88" s="22"/>
      <c r="AB88" s="23">
        <f t="shared" si="67"/>
        <v>0</v>
      </c>
      <c r="AC88" s="24" t="str">
        <f t="shared" si="68"/>
        <v/>
      </c>
      <c r="AD88" s="22"/>
      <c r="AE88" s="22"/>
      <c r="AF88" s="23">
        <f t="shared" si="69"/>
        <v>0</v>
      </c>
      <c r="AG88" s="24" t="str">
        <f t="shared" si="70"/>
        <v/>
      </c>
      <c r="AH88" s="22"/>
      <c r="AI88" s="22"/>
      <c r="AJ88" s="23">
        <f t="shared" si="71"/>
        <v>0</v>
      </c>
      <c r="AK88" s="24" t="str">
        <f t="shared" si="72"/>
        <v/>
      </c>
      <c r="AL88" s="22"/>
      <c r="AM88" s="22"/>
      <c r="AN88" s="23">
        <f t="shared" si="73"/>
        <v>0</v>
      </c>
      <c r="AO88" s="24" t="str">
        <f t="shared" si="74"/>
        <v/>
      </c>
      <c r="AP88" s="22"/>
      <c r="AQ88" s="22"/>
      <c r="AR88" s="23">
        <f t="shared" si="75"/>
        <v>0</v>
      </c>
      <c r="AS88" s="24" t="str">
        <f t="shared" si="76"/>
        <v/>
      </c>
      <c r="AT88" s="22"/>
      <c r="AU88" s="22"/>
      <c r="AV88" s="23">
        <f t="shared" si="77"/>
        <v>0</v>
      </c>
      <c r="AW88" s="24" t="str">
        <f t="shared" si="78"/>
        <v/>
      </c>
      <c r="AX88" s="23">
        <f t="shared" si="79"/>
        <v>3280</v>
      </c>
      <c r="AY88" s="23">
        <f t="shared" si="79"/>
        <v>0</v>
      </c>
      <c r="AZ88" s="23">
        <f t="shared" si="80"/>
        <v>3280</v>
      </c>
      <c r="BA88" s="24" t="str">
        <f t="shared" si="81"/>
        <v/>
      </c>
    </row>
    <row r="89" spans="1:53" x14ac:dyDescent="0.3">
      <c r="A89" s="21" t="s">
        <v>166</v>
      </c>
      <c r="B89" s="22"/>
      <c r="C89" s="22"/>
      <c r="D89" s="23">
        <f t="shared" si="55"/>
        <v>0</v>
      </c>
      <c r="E89" s="24" t="str">
        <f t="shared" si="56"/>
        <v/>
      </c>
      <c r="F89" s="22"/>
      <c r="G89" s="22"/>
      <c r="H89" s="23">
        <f t="shared" si="57"/>
        <v>0</v>
      </c>
      <c r="I89" s="24" t="str">
        <f t="shared" si="58"/>
        <v/>
      </c>
      <c r="J89" s="22"/>
      <c r="K89" s="22"/>
      <c r="L89" s="23">
        <f t="shared" si="59"/>
        <v>0</v>
      </c>
      <c r="M89" s="24" t="str">
        <f t="shared" si="60"/>
        <v/>
      </c>
      <c r="N89" s="22"/>
      <c r="O89" s="22"/>
      <c r="P89" s="23">
        <f t="shared" si="61"/>
        <v>0</v>
      </c>
      <c r="Q89" s="24" t="str">
        <f t="shared" si="62"/>
        <v/>
      </c>
      <c r="R89" s="22"/>
      <c r="S89" s="22"/>
      <c r="T89" s="23">
        <f t="shared" si="63"/>
        <v>0</v>
      </c>
      <c r="U89" s="24" t="str">
        <f t="shared" si="64"/>
        <v/>
      </c>
      <c r="V89" s="23">
        <f>92.78</f>
        <v>92.78</v>
      </c>
      <c r="W89" s="22"/>
      <c r="X89" s="23">
        <f t="shared" si="65"/>
        <v>92.78</v>
      </c>
      <c r="Y89" s="24" t="str">
        <f t="shared" si="66"/>
        <v/>
      </c>
      <c r="Z89" s="22"/>
      <c r="AA89" s="22"/>
      <c r="AB89" s="23">
        <f t="shared" si="67"/>
        <v>0</v>
      </c>
      <c r="AC89" s="24" t="str">
        <f t="shared" si="68"/>
        <v/>
      </c>
      <c r="AD89" s="22"/>
      <c r="AE89" s="22"/>
      <c r="AF89" s="23">
        <f t="shared" si="69"/>
        <v>0</v>
      </c>
      <c r="AG89" s="24" t="str">
        <f t="shared" si="70"/>
        <v/>
      </c>
      <c r="AH89" s="22"/>
      <c r="AI89" s="22"/>
      <c r="AJ89" s="23">
        <f t="shared" si="71"/>
        <v>0</v>
      </c>
      <c r="AK89" s="24" t="str">
        <f t="shared" si="72"/>
        <v/>
      </c>
      <c r="AL89" s="22"/>
      <c r="AM89" s="22"/>
      <c r="AN89" s="23">
        <f t="shared" si="73"/>
        <v>0</v>
      </c>
      <c r="AO89" s="24" t="str">
        <f t="shared" si="74"/>
        <v/>
      </c>
      <c r="AP89" s="22"/>
      <c r="AQ89" s="22"/>
      <c r="AR89" s="23">
        <f t="shared" si="75"/>
        <v>0</v>
      </c>
      <c r="AS89" s="24" t="str">
        <f t="shared" si="76"/>
        <v/>
      </c>
      <c r="AT89" s="22"/>
      <c r="AU89" s="22"/>
      <c r="AV89" s="23">
        <f t="shared" si="77"/>
        <v>0</v>
      </c>
      <c r="AW89" s="24" t="str">
        <f t="shared" si="78"/>
        <v/>
      </c>
      <c r="AX89" s="23">
        <f t="shared" si="79"/>
        <v>92.78</v>
      </c>
      <c r="AY89" s="23">
        <f t="shared" si="79"/>
        <v>0</v>
      </c>
      <c r="AZ89" s="23">
        <f t="shared" si="80"/>
        <v>92.78</v>
      </c>
      <c r="BA89" s="24" t="str">
        <f t="shared" si="81"/>
        <v/>
      </c>
    </row>
    <row r="90" spans="1:53" x14ac:dyDescent="0.3">
      <c r="A90" s="21" t="s">
        <v>167</v>
      </c>
      <c r="B90" s="23">
        <f>114.99</f>
        <v>114.99</v>
      </c>
      <c r="C90" s="22"/>
      <c r="D90" s="23">
        <f t="shared" si="55"/>
        <v>114.99</v>
      </c>
      <c r="E90" s="24" t="str">
        <f t="shared" si="56"/>
        <v/>
      </c>
      <c r="F90" s="23">
        <f>2005.59</f>
        <v>2005.59</v>
      </c>
      <c r="G90" s="22"/>
      <c r="H90" s="23">
        <f t="shared" si="57"/>
        <v>2005.59</v>
      </c>
      <c r="I90" s="24" t="str">
        <f t="shared" si="58"/>
        <v/>
      </c>
      <c r="J90" s="23">
        <f>287.81</f>
        <v>287.81</v>
      </c>
      <c r="K90" s="22"/>
      <c r="L90" s="23">
        <f t="shared" si="59"/>
        <v>287.81</v>
      </c>
      <c r="M90" s="24" t="str">
        <f t="shared" si="60"/>
        <v/>
      </c>
      <c r="N90" s="23">
        <f>158</f>
        <v>158</v>
      </c>
      <c r="O90" s="22"/>
      <c r="P90" s="23">
        <f t="shared" si="61"/>
        <v>158</v>
      </c>
      <c r="Q90" s="24" t="str">
        <f t="shared" si="62"/>
        <v/>
      </c>
      <c r="R90" s="23">
        <f>199.18</f>
        <v>199.18</v>
      </c>
      <c r="S90" s="22"/>
      <c r="T90" s="23">
        <f t="shared" si="63"/>
        <v>199.18</v>
      </c>
      <c r="U90" s="24" t="str">
        <f t="shared" si="64"/>
        <v/>
      </c>
      <c r="V90" s="23">
        <f>1522</f>
        <v>1522</v>
      </c>
      <c r="W90" s="22"/>
      <c r="X90" s="23">
        <f t="shared" si="65"/>
        <v>1522</v>
      </c>
      <c r="Y90" s="24" t="str">
        <f t="shared" si="66"/>
        <v/>
      </c>
      <c r="Z90" s="23">
        <f>199.18</f>
        <v>199.18</v>
      </c>
      <c r="AA90" s="22"/>
      <c r="AB90" s="23">
        <f t="shared" si="67"/>
        <v>199.18</v>
      </c>
      <c r="AC90" s="24" t="str">
        <f t="shared" si="68"/>
        <v/>
      </c>
      <c r="AD90" s="23">
        <f>143.64</f>
        <v>143.63999999999999</v>
      </c>
      <c r="AE90" s="22"/>
      <c r="AF90" s="23">
        <f t="shared" si="69"/>
        <v>143.63999999999999</v>
      </c>
      <c r="AG90" s="24" t="str">
        <f t="shared" si="70"/>
        <v/>
      </c>
      <c r="AH90" s="23">
        <f>2045.1</f>
        <v>2045.1</v>
      </c>
      <c r="AI90" s="22"/>
      <c r="AJ90" s="23">
        <f t="shared" si="71"/>
        <v>2045.1</v>
      </c>
      <c r="AK90" s="24" t="str">
        <f t="shared" si="72"/>
        <v/>
      </c>
      <c r="AL90" s="23">
        <f>194.59</f>
        <v>194.59</v>
      </c>
      <c r="AM90" s="22"/>
      <c r="AN90" s="23">
        <f t="shared" si="73"/>
        <v>194.59</v>
      </c>
      <c r="AO90" s="24" t="str">
        <f t="shared" si="74"/>
        <v/>
      </c>
      <c r="AP90" s="23">
        <f>542.59</f>
        <v>542.59</v>
      </c>
      <c r="AQ90" s="22"/>
      <c r="AR90" s="23">
        <f t="shared" si="75"/>
        <v>542.59</v>
      </c>
      <c r="AS90" s="24" t="str">
        <f t="shared" si="76"/>
        <v/>
      </c>
      <c r="AT90" s="23">
        <f>667.59</f>
        <v>667.59</v>
      </c>
      <c r="AU90" s="22"/>
      <c r="AV90" s="23">
        <f t="shared" si="77"/>
        <v>667.59</v>
      </c>
      <c r="AW90" s="24" t="str">
        <f t="shared" si="78"/>
        <v/>
      </c>
      <c r="AX90" s="23">
        <f t="shared" si="79"/>
        <v>8080.26</v>
      </c>
      <c r="AY90" s="23">
        <f t="shared" si="79"/>
        <v>0</v>
      </c>
      <c r="AZ90" s="23">
        <f t="shared" si="80"/>
        <v>8080.26</v>
      </c>
      <c r="BA90" s="24" t="str">
        <f t="shared" si="81"/>
        <v/>
      </c>
    </row>
    <row r="91" spans="1:53" x14ac:dyDescent="0.3">
      <c r="A91" s="21" t="s">
        <v>168</v>
      </c>
      <c r="B91" s="25">
        <f>(((((B85)+(B86))+(B87))+(B88))+(B89))+(B90)</f>
        <v>2509.9899999999998</v>
      </c>
      <c r="C91" s="25">
        <f>(((((C85)+(C86))+(C87))+(C88))+(C89))+(C90)</f>
        <v>0</v>
      </c>
      <c r="D91" s="25">
        <f t="shared" si="55"/>
        <v>2509.9899999999998</v>
      </c>
      <c r="E91" s="26" t="str">
        <f t="shared" si="56"/>
        <v/>
      </c>
      <c r="F91" s="25">
        <f>(((((F85)+(F86))+(F87))+(F88))+(F89))+(F90)</f>
        <v>7680.59</v>
      </c>
      <c r="G91" s="25">
        <f>(((((G85)+(G86))+(G87))+(G88))+(G89))+(G90)</f>
        <v>0</v>
      </c>
      <c r="H91" s="25">
        <f t="shared" si="57"/>
        <v>7680.59</v>
      </c>
      <c r="I91" s="26" t="str">
        <f t="shared" si="58"/>
        <v/>
      </c>
      <c r="J91" s="25">
        <f>(((((J85)+(J86))+(J87))+(J88))+(J89))+(J90)</f>
        <v>2852.61</v>
      </c>
      <c r="K91" s="25">
        <f>(((((K85)+(K86))+(K87))+(K88))+(K89))+(K90)</f>
        <v>0</v>
      </c>
      <c r="L91" s="25">
        <f t="shared" si="59"/>
        <v>2852.61</v>
      </c>
      <c r="M91" s="26" t="str">
        <f t="shared" si="60"/>
        <v/>
      </c>
      <c r="N91" s="25">
        <f>(((((N85)+(N86))+(N87))+(N88))+(N89))+(N90)</f>
        <v>3448</v>
      </c>
      <c r="O91" s="25">
        <f>(((((O85)+(O86))+(O87))+(O88))+(O89))+(O90)</f>
        <v>0</v>
      </c>
      <c r="P91" s="25">
        <f t="shared" si="61"/>
        <v>3448</v>
      </c>
      <c r="Q91" s="26" t="str">
        <f t="shared" si="62"/>
        <v/>
      </c>
      <c r="R91" s="25">
        <f>(((((R85)+(R86))+(R87))+(R88))+(R89))+(R90)</f>
        <v>2594.1799999999998</v>
      </c>
      <c r="S91" s="25">
        <f>(((((S85)+(S86))+(S87))+(S88))+(S89))+(S90)</f>
        <v>0</v>
      </c>
      <c r="T91" s="25">
        <f t="shared" si="63"/>
        <v>2594.1799999999998</v>
      </c>
      <c r="U91" s="26" t="str">
        <f t="shared" si="64"/>
        <v/>
      </c>
      <c r="V91" s="25">
        <f>(((((V85)+(V86))+(V87))+(V88))+(V89))+(V90)</f>
        <v>4368.7800000000007</v>
      </c>
      <c r="W91" s="25">
        <f>(((((W85)+(W86))+(W87))+(W88))+(W89))+(W90)</f>
        <v>0</v>
      </c>
      <c r="X91" s="25">
        <f t="shared" si="65"/>
        <v>4368.7800000000007</v>
      </c>
      <c r="Y91" s="26" t="str">
        <f t="shared" si="66"/>
        <v/>
      </c>
      <c r="Z91" s="25">
        <f>(((((Z85)+(Z86))+(Z87))+(Z88))+(Z89))+(Z90)</f>
        <v>3198.2099999999996</v>
      </c>
      <c r="AA91" s="25">
        <f>(((((AA85)+(AA86))+(AA87))+(AA88))+(AA89))+(AA90)</f>
        <v>0</v>
      </c>
      <c r="AB91" s="25">
        <f t="shared" si="67"/>
        <v>3198.2099999999996</v>
      </c>
      <c r="AC91" s="26" t="str">
        <f t="shared" si="68"/>
        <v/>
      </c>
      <c r="AD91" s="25">
        <f>(((((AD85)+(AD86))+(AD87))+(AD88))+(AD89))+(AD90)</f>
        <v>2538.64</v>
      </c>
      <c r="AE91" s="25">
        <f>(((((AE85)+(AE86))+(AE87))+(AE88))+(AE89))+(AE90)</f>
        <v>0</v>
      </c>
      <c r="AF91" s="25">
        <f t="shared" si="69"/>
        <v>2538.64</v>
      </c>
      <c r="AG91" s="26" t="str">
        <f t="shared" si="70"/>
        <v/>
      </c>
      <c r="AH91" s="25">
        <f>(((((AH85)+(AH86))+(AH87))+(AH88))+(AH89))+(AH90)</f>
        <v>4642.5499999999993</v>
      </c>
      <c r="AI91" s="25">
        <f>(((((AI85)+(AI86))+(AI87))+(AI88))+(AI89))+(AI90)</f>
        <v>0</v>
      </c>
      <c r="AJ91" s="25">
        <f t="shared" si="71"/>
        <v>4642.5499999999993</v>
      </c>
      <c r="AK91" s="26" t="str">
        <f t="shared" si="72"/>
        <v/>
      </c>
      <c r="AL91" s="25">
        <f>(((((AL85)+(AL86))+(AL87))+(AL88))+(AL89))+(AL90)</f>
        <v>194.59</v>
      </c>
      <c r="AM91" s="25">
        <f>(((((AM85)+(AM86))+(AM87))+(AM88))+(AM89))+(AM90)</f>
        <v>0</v>
      </c>
      <c r="AN91" s="25">
        <f t="shared" si="73"/>
        <v>194.59</v>
      </c>
      <c r="AO91" s="26" t="str">
        <f t="shared" si="74"/>
        <v/>
      </c>
      <c r="AP91" s="25">
        <f>(((((AP85)+(AP86))+(AP87))+(AP88))+(AP89))+(AP90)</f>
        <v>5332.59</v>
      </c>
      <c r="AQ91" s="25">
        <f>(((((AQ85)+(AQ86))+(AQ87))+(AQ88))+(AQ89))+(AQ90)</f>
        <v>0</v>
      </c>
      <c r="AR91" s="25">
        <f t="shared" si="75"/>
        <v>5332.59</v>
      </c>
      <c r="AS91" s="26" t="str">
        <f t="shared" si="76"/>
        <v/>
      </c>
      <c r="AT91" s="25">
        <f>(((((AT85)+(AT86))+(AT87))+(AT88))+(AT89))+(AT90)</f>
        <v>3262.59</v>
      </c>
      <c r="AU91" s="25">
        <f>(((((AU85)+(AU86))+(AU87))+(AU88))+(AU89))+(AU90)</f>
        <v>0</v>
      </c>
      <c r="AV91" s="25">
        <f t="shared" si="77"/>
        <v>3262.59</v>
      </c>
      <c r="AW91" s="26" t="str">
        <f t="shared" si="78"/>
        <v/>
      </c>
      <c r="AX91" s="25">
        <f t="shared" si="79"/>
        <v>42623.319999999992</v>
      </c>
      <c r="AY91" s="25">
        <f t="shared" si="79"/>
        <v>0</v>
      </c>
      <c r="AZ91" s="25">
        <f t="shared" si="80"/>
        <v>42623.319999999992</v>
      </c>
      <c r="BA91" s="26" t="str">
        <f t="shared" si="81"/>
        <v/>
      </c>
    </row>
    <row r="92" spans="1:53" x14ac:dyDescent="0.3">
      <c r="A92" s="21" t="s">
        <v>169</v>
      </c>
      <c r="B92" s="22"/>
      <c r="C92" s="22"/>
      <c r="D92" s="23">
        <f t="shared" si="55"/>
        <v>0</v>
      </c>
      <c r="E92" s="24" t="str">
        <f t="shared" si="56"/>
        <v/>
      </c>
      <c r="F92" s="22"/>
      <c r="G92" s="22"/>
      <c r="H92" s="23">
        <f t="shared" si="57"/>
        <v>0</v>
      </c>
      <c r="I92" s="24" t="str">
        <f t="shared" si="58"/>
        <v/>
      </c>
      <c r="J92" s="22"/>
      <c r="K92" s="22"/>
      <c r="L92" s="23">
        <f t="shared" si="59"/>
        <v>0</v>
      </c>
      <c r="M92" s="24" t="str">
        <f t="shared" si="60"/>
        <v/>
      </c>
      <c r="N92" s="22"/>
      <c r="O92" s="22"/>
      <c r="P92" s="23">
        <f t="shared" si="61"/>
        <v>0</v>
      </c>
      <c r="Q92" s="24" t="str">
        <f t="shared" si="62"/>
        <v/>
      </c>
      <c r="R92" s="22"/>
      <c r="S92" s="22"/>
      <c r="T92" s="23">
        <f t="shared" si="63"/>
        <v>0</v>
      </c>
      <c r="U92" s="24" t="str">
        <f t="shared" si="64"/>
        <v/>
      </c>
      <c r="V92" s="22"/>
      <c r="W92" s="22"/>
      <c r="X92" s="23">
        <f t="shared" si="65"/>
        <v>0</v>
      </c>
      <c r="Y92" s="24" t="str">
        <f t="shared" si="66"/>
        <v/>
      </c>
      <c r="Z92" s="22"/>
      <c r="AA92" s="22"/>
      <c r="AB92" s="23">
        <f t="shared" si="67"/>
        <v>0</v>
      </c>
      <c r="AC92" s="24" t="str">
        <f t="shared" si="68"/>
        <v/>
      </c>
      <c r="AD92" s="22"/>
      <c r="AE92" s="22"/>
      <c r="AF92" s="23">
        <f t="shared" si="69"/>
        <v>0</v>
      </c>
      <c r="AG92" s="24" t="str">
        <f t="shared" si="70"/>
        <v/>
      </c>
      <c r="AH92" s="22"/>
      <c r="AI92" s="22"/>
      <c r="AJ92" s="23">
        <f t="shared" si="71"/>
        <v>0</v>
      </c>
      <c r="AK92" s="24" t="str">
        <f t="shared" si="72"/>
        <v/>
      </c>
      <c r="AL92" s="22"/>
      <c r="AM92" s="22"/>
      <c r="AN92" s="23">
        <f t="shared" si="73"/>
        <v>0</v>
      </c>
      <c r="AO92" s="24" t="str">
        <f t="shared" si="74"/>
        <v/>
      </c>
      <c r="AP92" s="22"/>
      <c r="AQ92" s="22"/>
      <c r="AR92" s="23">
        <f t="shared" si="75"/>
        <v>0</v>
      </c>
      <c r="AS92" s="24" t="str">
        <f t="shared" si="76"/>
        <v/>
      </c>
      <c r="AT92" s="22"/>
      <c r="AU92" s="22"/>
      <c r="AV92" s="23">
        <f t="shared" si="77"/>
        <v>0</v>
      </c>
      <c r="AW92" s="24" t="str">
        <f t="shared" si="78"/>
        <v/>
      </c>
      <c r="AX92" s="23">
        <f t="shared" si="79"/>
        <v>0</v>
      </c>
      <c r="AY92" s="23">
        <f t="shared" si="79"/>
        <v>0</v>
      </c>
      <c r="AZ92" s="23">
        <f t="shared" si="80"/>
        <v>0</v>
      </c>
      <c r="BA92" s="24" t="str">
        <f t="shared" si="81"/>
        <v/>
      </c>
    </row>
    <row r="93" spans="1:53" x14ac:dyDescent="0.3">
      <c r="A93" s="21" t="s">
        <v>170</v>
      </c>
      <c r="B93" s="23">
        <f>465.57</f>
        <v>465.57</v>
      </c>
      <c r="C93" s="22"/>
      <c r="D93" s="23">
        <f t="shared" si="55"/>
        <v>465.57</v>
      </c>
      <c r="E93" s="24" t="str">
        <f t="shared" si="56"/>
        <v/>
      </c>
      <c r="F93" s="23">
        <f>937.26</f>
        <v>937.26</v>
      </c>
      <c r="G93" s="22"/>
      <c r="H93" s="23">
        <f t="shared" si="57"/>
        <v>937.26</v>
      </c>
      <c r="I93" s="24" t="str">
        <f t="shared" si="58"/>
        <v/>
      </c>
      <c r="J93" s="23">
        <f>468.24</f>
        <v>468.24</v>
      </c>
      <c r="K93" s="22"/>
      <c r="L93" s="23">
        <f t="shared" si="59"/>
        <v>468.24</v>
      </c>
      <c r="M93" s="24" t="str">
        <f t="shared" si="60"/>
        <v/>
      </c>
      <c r="N93" s="22"/>
      <c r="O93" s="22"/>
      <c r="P93" s="23">
        <f t="shared" si="61"/>
        <v>0</v>
      </c>
      <c r="Q93" s="24" t="str">
        <f t="shared" si="62"/>
        <v/>
      </c>
      <c r="R93" s="23">
        <f>468.24</f>
        <v>468.24</v>
      </c>
      <c r="S93" s="22"/>
      <c r="T93" s="23">
        <f t="shared" si="63"/>
        <v>468.24</v>
      </c>
      <c r="U93" s="24" t="str">
        <f t="shared" si="64"/>
        <v/>
      </c>
      <c r="V93" s="23">
        <f>468.33</f>
        <v>468.33</v>
      </c>
      <c r="W93" s="22"/>
      <c r="X93" s="23">
        <f t="shared" si="65"/>
        <v>468.33</v>
      </c>
      <c r="Y93" s="24" t="str">
        <f t="shared" si="66"/>
        <v/>
      </c>
      <c r="Z93" s="22"/>
      <c r="AA93" s="22"/>
      <c r="AB93" s="23">
        <f t="shared" si="67"/>
        <v>0</v>
      </c>
      <c r="AC93" s="24" t="str">
        <f t="shared" si="68"/>
        <v/>
      </c>
      <c r="AD93" s="23">
        <f>942.21</f>
        <v>942.21</v>
      </c>
      <c r="AE93" s="22"/>
      <c r="AF93" s="23">
        <f t="shared" si="69"/>
        <v>942.21</v>
      </c>
      <c r="AG93" s="24" t="str">
        <f t="shared" si="70"/>
        <v/>
      </c>
      <c r="AH93" s="23">
        <f>1420.54</f>
        <v>1420.54</v>
      </c>
      <c r="AI93" s="22"/>
      <c r="AJ93" s="23">
        <f t="shared" si="71"/>
        <v>1420.54</v>
      </c>
      <c r="AK93" s="24" t="str">
        <f t="shared" si="72"/>
        <v/>
      </c>
      <c r="AL93" s="22"/>
      <c r="AM93" s="22"/>
      <c r="AN93" s="23">
        <f t="shared" si="73"/>
        <v>0</v>
      </c>
      <c r="AO93" s="24" t="str">
        <f t="shared" si="74"/>
        <v/>
      </c>
      <c r="AP93" s="23">
        <f>2.13</f>
        <v>2.13</v>
      </c>
      <c r="AQ93" s="22"/>
      <c r="AR93" s="23">
        <f t="shared" si="75"/>
        <v>2.13</v>
      </c>
      <c r="AS93" s="24" t="str">
        <f t="shared" si="76"/>
        <v/>
      </c>
      <c r="AT93" s="23">
        <f>472.71</f>
        <v>472.71</v>
      </c>
      <c r="AU93" s="22"/>
      <c r="AV93" s="23">
        <f t="shared" si="77"/>
        <v>472.71</v>
      </c>
      <c r="AW93" s="24" t="str">
        <f t="shared" si="78"/>
        <v/>
      </c>
      <c r="AX93" s="23">
        <f t="shared" si="79"/>
        <v>5645.23</v>
      </c>
      <c r="AY93" s="23">
        <f t="shared" si="79"/>
        <v>0</v>
      </c>
      <c r="AZ93" s="23">
        <f t="shared" si="80"/>
        <v>5645.23</v>
      </c>
      <c r="BA93" s="24" t="str">
        <f t="shared" si="81"/>
        <v/>
      </c>
    </row>
    <row r="94" spans="1:53" x14ac:dyDescent="0.3">
      <c r="A94" s="21" t="s">
        <v>171</v>
      </c>
      <c r="B94" s="23">
        <f>1161.07</f>
        <v>1161.07</v>
      </c>
      <c r="C94" s="22"/>
      <c r="D94" s="23">
        <f t="shared" si="55"/>
        <v>1161.07</v>
      </c>
      <c r="E94" s="24" t="str">
        <f t="shared" si="56"/>
        <v/>
      </c>
      <c r="F94" s="23">
        <f>1118.11</f>
        <v>1118.1099999999999</v>
      </c>
      <c r="G94" s="22"/>
      <c r="H94" s="23">
        <f t="shared" si="57"/>
        <v>1118.1099999999999</v>
      </c>
      <c r="I94" s="24" t="str">
        <f t="shared" si="58"/>
        <v/>
      </c>
      <c r="J94" s="23">
        <f>673.64</f>
        <v>673.64</v>
      </c>
      <c r="K94" s="22"/>
      <c r="L94" s="23">
        <f t="shared" si="59"/>
        <v>673.64</v>
      </c>
      <c r="M94" s="24" t="str">
        <f t="shared" si="60"/>
        <v/>
      </c>
      <c r="N94" s="23">
        <f>608.09</f>
        <v>608.09</v>
      </c>
      <c r="O94" s="22"/>
      <c r="P94" s="23">
        <f t="shared" si="61"/>
        <v>608.09</v>
      </c>
      <c r="Q94" s="24" t="str">
        <f t="shared" si="62"/>
        <v/>
      </c>
      <c r="R94" s="23">
        <f>664.54</f>
        <v>664.54</v>
      </c>
      <c r="S94" s="22"/>
      <c r="T94" s="23">
        <f t="shared" si="63"/>
        <v>664.54</v>
      </c>
      <c r="U94" s="24" t="str">
        <f t="shared" si="64"/>
        <v/>
      </c>
      <c r="V94" s="23">
        <f>911.76</f>
        <v>911.76</v>
      </c>
      <c r="W94" s="22"/>
      <c r="X94" s="23">
        <f t="shared" si="65"/>
        <v>911.76</v>
      </c>
      <c r="Y94" s="24" t="str">
        <f t="shared" si="66"/>
        <v/>
      </c>
      <c r="Z94" s="22"/>
      <c r="AA94" s="22"/>
      <c r="AB94" s="23">
        <f t="shared" si="67"/>
        <v>0</v>
      </c>
      <c r="AC94" s="24" t="str">
        <f t="shared" si="68"/>
        <v/>
      </c>
      <c r="AD94" s="23">
        <f>1965.9</f>
        <v>1965.9</v>
      </c>
      <c r="AE94" s="22"/>
      <c r="AF94" s="23">
        <f t="shared" si="69"/>
        <v>1965.9</v>
      </c>
      <c r="AG94" s="24" t="str">
        <f t="shared" si="70"/>
        <v/>
      </c>
      <c r="AH94" s="23">
        <f>909.5</f>
        <v>909.5</v>
      </c>
      <c r="AI94" s="22"/>
      <c r="AJ94" s="23">
        <f t="shared" si="71"/>
        <v>909.5</v>
      </c>
      <c r="AK94" s="24" t="str">
        <f t="shared" si="72"/>
        <v/>
      </c>
      <c r="AL94" s="23">
        <f>620.55</f>
        <v>620.54999999999995</v>
      </c>
      <c r="AM94" s="22"/>
      <c r="AN94" s="23">
        <f t="shared" si="73"/>
        <v>620.54999999999995</v>
      </c>
      <c r="AO94" s="24" t="str">
        <f t="shared" si="74"/>
        <v/>
      </c>
      <c r="AP94" s="23">
        <f>672.46</f>
        <v>672.46</v>
      </c>
      <c r="AQ94" s="22"/>
      <c r="AR94" s="23">
        <f t="shared" si="75"/>
        <v>672.46</v>
      </c>
      <c r="AS94" s="24" t="str">
        <f t="shared" si="76"/>
        <v/>
      </c>
      <c r="AT94" s="23">
        <f>989.65</f>
        <v>989.65</v>
      </c>
      <c r="AU94" s="22"/>
      <c r="AV94" s="23">
        <f t="shared" si="77"/>
        <v>989.65</v>
      </c>
      <c r="AW94" s="24" t="str">
        <f t="shared" si="78"/>
        <v/>
      </c>
      <c r="AX94" s="23">
        <f t="shared" si="79"/>
        <v>10295.269999999999</v>
      </c>
      <c r="AY94" s="23">
        <f t="shared" si="79"/>
        <v>0</v>
      </c>
      <c r="AZ94" s="23">
        <f t="shared" si="80"/>
        <v>10295.269999999999</v>
      </c>
      <c r="BA94" s="24" t="str">
        <f t="shared" si="81"/>
        <v/>
      </c>
    </row>
    <row r="95" spans="1:53" x14ac:dyDescent="0.3">
      <c r="A95" s="21" t="s">
        <v>172</v>
      </c>
      <c r="B95" s="23">
        <f>40</f>
        <v>40</v>
      </c>
      <c r="C95" s="22"/>
      <c r="D95" s="23">
        <f t="shared" si="55"/>
        <v>40</v>
      </c>
      <c r="E95" s="24" t="str">
        <f t="shared" si="56"/>
        <v/>
      </c>
      <c r="F95" s="23">
        <f>80</f>
        <v>80</v>
      </c>
      <c r="G95" s="22"/>
      <c r="H95" s="23">
        <f t="shared" si="57"/>
        <v>80</v>
      </c>
      <c r="I95" s="24" t="str">
        <f t="shared" si="58"/>
        <v/>
      </c>
      <c r="J95" s="22"/>
      <c r="K95" s="22"/>
      <c r="L95" s="23">
        <f t="shared" si="59"/>
        <v>0</v>
      </c>
      <c r="M95" s="24" t="str">
        <f t="shared" si="60"/>
        <v/>
      </c>
      <c r="N95" s="23">
        <f>40</f>
        <v>40</v>
      </c>
      <c r="O95" s="22"/>
      <c r="P95" s="23">
        <f t="shared" si="61"/>
        <v>40</v>
      </c>
      <c r="Q95" s="24" t="str">
        <f t="shared" si="62"/>
        <v/>
      </c>
      <c r="R95" s="23">
        <f>40</f>
        <v>40</v>
      </c>
      <c r="S95" s="22"/>
      <c r="T95" s="23">
        <f t="shared" si="63"/>
        <v>40</v>
      </c>
      <c r="U95" s="24" t="str">
        <f t="shared" si="64"/>
        <v/>
      </c>
      <c r="V95" s="23">
        <f>40</f>
        <v>40</v>
      </c>
      <c r="W95" s="22"/>
      <c r="X95" s="23">
        <f t="shared" si="65"/>
        <v>40</v>
      </c>
      <c r="Y95" s="24" t="str">
        <f t="shared" si="66"/>
        <v/>
      </c>
      <c r="Z95" s="23">
        <f>40</f>
        <v>40</v>
      </c>
      <c r="AA95" s="22"/>
      <c r="AB95" s="23">
        <f t="shared" si="67"/>
        <v>40</v>
      </c>
      <c r="AC95" s="24" t="str">
        <f t="shared" si="68"/>
        <v/>
      </c>
      <c r="AD95" s="23">
        <f>40</f>
        <v>40</v>
      </c>
      <c r="AE95" s="22"/>
      <c r="AF95" s="23">
        <f t="shared" si="69"/>
        <v>40</v>
      </c>
      <c r="AG95" s="24" t="str">
        <f t="shared" si="70"/>
        <v/>
      </c>
      <c r="AH95" s="23">
        <f>40</f>
        <v>40</v>
      </c>
      <c r="AI95" s="22"/>
      <c r="AJ95" s="23">
        <f t="shared" si="71"/>
        <v>40</v>
      </c>
      <c r="AK95" s="24" t="str">
        <f t="shared" si="72"/>
        <v/>
      </c>
      <c r="AL95" s="23">
        <f>40</f>
        <v>40</v>
      </c>
      <c r="AM95" s="22"/>
      <c r="AN95" s="23">
        <f t="shared" si="73"/>
        <v>40</v>
      </c>
      <c r="AO95" s="24" t="str">
        <f t="shared" si="74"/>
        <v/>
      </c>
      <c r="AP95" s="23">
        <f>40</f>
        <v>40</v>
      </c>
      <c r="AQ95" s="22"/>
      <c r="AR95" s="23">
        <f t="shared" si="75"/>
        <v>40</v>
      </c>
      <c r="AS95" s="24" t="str">
        <f t="shared" si="76"/>
        <v/>
      </c>
      <c r="AT95" s="23">
        <f>40</f>
        <v>40</v>
      </c>
      <c r="AU95" s="22"/>
      <c r="AV95" s="23">
        <f t="shared" si="77"/>
        <v>40</v>
      </c>
      <c r="AW95" s="24" t="str">
        <f t="shared" si="78"/>
        <v/>
      </c>
      <c r="AX95" s="23">
        <f t="shared" si="79"/>
        <v>480</v>
      </c>
      <c r="AY95" s="23">
        <f t="shared" si="79"/>
        <v>0</v>
      </c>
      <c r="AZ95" s="23">
        <f t="shared" si="80"/>
        <v>480</v>
      </c>
      <c r="BA95" s="24" t="str">
        <f t="shared" si="81"/>
        <v/>
      </c>
    </row>
    <row r="96" spans="1:53" x14ac:dyDescent="0.3">
      <c r="A96" s="21" t="s">
        <v>173</v>
      </c>
      <c r="B96" s="23">
        <f>116.62</f>
        <v>116.62</v>
      </c>
      <c r="C96" s="22"/>
      <c r="D96" s="23">
        <f t="shared" si="55"/>
        <v>116.62</v>
      </c>
      <c r="E96" s="24" t="str">
        <f t="shared" si="56"/>
        <v/>
      </c>
      <c r="F96" s="23">
        <f>122.13</f>
        <v>122.13</v>
      </c>
      <c r="G96" s="22"/>
      <c r="H96" s="23">
        <f t="shared" si="57"/>
        <v>122.13</v>
      </c>
      <c r="I96" s="24" t="str">
        <f t="shared" si="58"/>
        <v/>
      </c>
      <c r="J96" s="23">
        <f>118.53</f>
        <v>118.53</v>
      </c>
      <c r="K96" s="22"/>
      <c r="L96" s="23">
        <f t="shared" si="59"/>
        <v>118.53</v>
      </c>
      <c r="M96" s="24" t="str">
        <f t="shared" si="60"/>
        <v/>
      </c>
      <c r="N96" s="23">
        <f>105.01</f>
        <v>105.01</v>
      </c>
      <c r="O96" s="22"/>
      <c r="P96" s="23">
        <f t="shared" si="61"/>
        <v>105.01</v>
      </c>
      <c r="Q96" s="24" t="str">
        <f t="shared" si="62"/>
        <v/>
      </c>
      <c r="R96" s="23">
        <f>155.41</f>
        <v>155.41</v>
      </c>
      <c r="S96" s="22"/>
      <c r="T96" s="23">
        <f t="shared" si="63"/>
        <v>155.41</v>
      </c>
      <c r="U96" s="24" t="str">
        <f t="shared" si="64"/>
        <v/>
      </c>
      <c r="V96" s="23">
        <f>177.01</f>
        <v>177.01</v>
      </c>
      <c r="W96" s="22"/>
      <c r="X96" s="23">
        <f t="shared" si="65"/>
        <v>177.01</v>
      </c>
      <c r="Y96" s="24" t="str">
        <f t="shared" si="66"/>
        <v/>
      </c>
      <c r="Z96" s="23">
        <f>169.81</f>
        <v>169.81</v>
      </c>
      <c r="AA96" s="22"/>
      <c r="AB96" s="23">
        <f t="shared" si="67"/>
        <v>169.81</v>
      </c>
      <c r="AC96" s="24" t="str">
        <f t="shared" si="68"/>
        <v/>
      </c>
      <c r="AD96" s="23">
        <f>173.41</f>
        <v>173.41</v>
      </c>
      <c r="AE96" s="22"/>
      <c r="AF96" s="23">
        <f t="shared" si="69"/>
        <v>173.41</v>
      </c>
      <c r="AG96" s="24" t="str">
        <f t="shared" si="70"/>
        <v/>
      </c>
      <c r="AH96" s="23">
        <f>162.61</f>
        <v>162.61000000000001</v>
      </c>
      <c r="AI96" s="22"/>
      <c r="AJ96" s="23">
        <f t="shared" si="71"/>
        <v>162.61000000000001</v>
      </c>
      <c r="AK96" s="24" t="str">
        <f t="shared" si="72"/>
        <v/>
      </c>
      <c r="AL96" s="23">
        <f>173.41</f>
        <v>173.41</v>
      </c>
      <c r="AM96" s="22"/>
      <c r="AN96" s="23">
        <f t="shared" si="73"/>
        <v>173.41</v>
      </c>
      <c r="AO96" s="24" t="str">
        <f t="shared" si="74"/>
        <v/>
      </c>
      <c r="AP96" s="23">
        <f>144.61</f>
        <v>144.61000000000001</v>
      </c>
      <c r="AQ96" s="22"/>
      <c r="AR96" s="23">
        <f t="shared" si="75"/>
        <v>144.61000000000001</v>
      </c>
      <c r="AS96" s="24" t="str">
        <f t="shared" si="76"/>
        <v/>
      </c>
      <c r="AT96" s="22"/>
      <c r="AU96" s="22"/>
      <c r="AV96" s="23">
        <f t="shared" si="77"/>
        <v>0</v>
      </c>
      <c r="AW96" s="24" t="str">
        <f t="shared" si="78"/>
        <v/>
      </c>
      <c r="AX96" s="23">
        <f t="shared" si="79"/>
        <v>1618.56</v>
      </c>
      <c r="AY96" s="23">
        <f t="shared" si="79"/>
        <v>0</v>
      </c>
      <c r="AZ96" s="23">
        <f t="shared" si="80"/>
        <v>1618.56</v>
      </c>
      <c r="BA96" s="24" t="str">
        <f t="shared" si="81"/>
        <v/>
      </c>
    </row>
    <row r="97" spans="1:53" x14ac:dyDescent="0.3">
      <c r="A97" s="21" t="s">
        <v>174</v>
      </c>
      <c r="B97" s="25">
        <f>((((B92)+(B93))+(B94))+(B95))+(B96)</f>
        <v>1783.2599999999998</v>
      </c>
      <c r="C97" s="25">
        <f>((((C92)+(C93))+(C94))+(C95))+(C96)</f>
        <v>0</v>
      </c>
      <c r="D97" s="25">
        <f t="shared" si="55"/>
        <v>1783.2599999999998</v>
      </c>
      <c r="E97" s="26" t="str">
        <f t="shared" si="56"/>
        <v/>
      </c>
      <c r="F97" s="25">
        <f>((((F92)+(F93))+(F94))+(F95))+(F96)</f>
        <v>2257.5</v>
      </c>
      <c r="G97" s="25">
        <f>((((G92)+(G93))+(G94))+(G95))+(G96)</f>
        <v>0</v>
      </c>
      <c r="H97" s="25">
        <f t="shared" si="57"/>
        <v>2257.5</v>
      </c>
      <c r="I97" s="26" t="str">
        <f t="shared" si="58"/>
        <v/>
      </c>
      <c r="J97" s="25">
        <f>((((J92)+(J93))+(J94))+(J95))+(J96)</f>
        <v>1260.4100000000001</v>
      </c>
      <c r="K97" s="25">
        <f>((((K92)+(K93))+(K94))+(K95))+(K96)</f>
        <v>0</v>
      </c>
      <c r="L97" s="25">
        <f t="shared" si="59"/>
        <v>1260.4100000000001</v>
      </c>
      <c r="M97" s="26" t="str">
        <f t="shared" si="60"/>
        <v/>
      </c>
      <c r="N97" s="25">
        <f>((((N92)+(N93))+(N94))+(N95))+(N96)</f>
        <v>753.1</v>
      </c>
      <c r="O97" s="25">
        <f>((((O92)+(O93))+(O94))+(O95))+(O96)</f>
        <v>0</v>
      </c>
      <c r="P97" s="25">
        <f t="shared" si="61"/>
        <v>753.1</v>
      </c>
      <c r="Q97" s="26" t="str">
        <f t="shared" si="62"/>
        <v/>
      </c>
      <c r="R97" s="25">
        <f>((((R92)+(R93))+(R94))+(R95))+(R96)</f>
        <v>1328.19</v>
      </c>
      <c r="S97" s="25">
        <f>((((S92)+(S93))+(S94))+(S95))+(S96)</f>
        <v>0</v>
      </c>
      <c r="T97" s="25">
        <f t="shared" si="63"/>
        <v>1328.19</v>
      </c>
      <c r="U97" s="26" t="str">
        <f t="shared" si="64"/>
        <v/>
      </c>
      <c r="V97" s="25">
        <f>((((V92)+(V93))+(V94))+(V95))+(V96)</f>
        <v>1597.1</v>
      </c>
      <c r="W97" s="25">
        <f>((((W92)+(W93))+(W94))+(W95))+(W96)</f>
        <v>0</v>
      </c>
      <c r="X97" s="25">
        <f t="shared" si="65"/>
        <v>1597.1</v>
      </c>
      <c r="Y97" s="26" t="str">
        <f t="shared" si="66"/>
        <v/>
      </c>
      <c r="Z97" s="25">
        <f>((((Z92)+(Z93))+(Z94))+(Z95))+(Z96)</f>
        <v>209.81</v>
      </c>
      <c r="AA97" s="25">
        <f>((((AA92)+(AA93))+(AA94))+(AA95))+(AA96)</f>
        <v>0</v>
      </c>
      <c r="AB97" s="25">
        <f t="shared" si="67"/>
        <v>209.81</v>
      </c>
      <c r="AC97" s="26" t="str">
        <f t="shared" si="68"/>
        <v/>
      </c>
      <c r="AD97" s="25">
        <f>((((AD92)+(AD93))+(AD94))+(AD95))+(AD96)</f>
        <v>3121.52</v>
      </c>
      <c r="AE97" s="25">
        <f>((((AE92)+(AE93))+(AE94))+(AE95))+(AE96)</f>
        <v>0</v>
      </c>
      <c r="AF97" s="25">
        <f t="shared" si="69"/>
        <v>3121.52</v>
      </c>
      <c r="AG97" s="26" t="str">
        <f t="shared" si="70"/>
        <v/>
      </c>
      <c r="AH97" s="25">
        <f>((((AH92)+(AH93))+(AH94))+(AH95))+(AH96)</f>
        <v>2532.65</v>
      </c>
      <c r="AI97" s="25">
        <f>((((AI92)+(AI93))+(AI94))+(AI95))+(AI96)</f>
        <v>0</v>
      </c>
      <c r="AJ97" s="25">
        <f t="shared" si="71"/>
        <v>2532.65</v>
      </c>
      <c r="AK97" s="26" t="str">
        <f t="shared" si="72"/>
        <v/>
      </c>
      <c r="AL97" s="25">
        <f>((((AL92)+(AL93))+(AL94))+(AL95))+(AL96)</f>
        <v>833.95999999999992</v>
      </c>
      <c r="AM97" s="25">
        <f>((((AM92)+(AM93))+(AM94))+(AM95))+(AM96)</f>
        <v>0</v>
      </c>
      <c r="AN97" s="25">
        <f t="shared" si="73"/>
        <v>833.95999999999992</v>
      </c>
      <c r="AO97" s="26" t="str">
        <f t="shared" si="74"/>
        <v/>
      </c>
      <c r="AP97" s="25">
        <f>((((AP92)+(AP93))+(AP94))+(AP95))+(AP96)</f>
        <v>859.2</v>
      </c>
      <c r="AQ97" s="25">
        <f>((((AQ92)+(AQ93))+(AQ94))+(AQ95))+(AQ96)</f>
        <v>0</v>
      </c>
      <c r="AR97" s="25">
        <f t="shared" si="75"/>
        <v>859.2</v>
      </c>
      <c r="AS97" s="26" t="str">
        <f t="shared" si="76"/>
        <v/>
      </c>
      <c r="AT97" s="25">
        <f>((((AT92)+(AT93))+(AT94))+(AT95))+(AT96)</f>
        <v>1502.36</v>
      </c>
      <c r="AU97" s="25">
        <f>((((AU92)+(AU93))+(AU94))+(AU95))+(AU96)</f>
        <v>0</v>
      </c>
      <c r="AV97" s="25">
        <f t="shared" si="77"/>
        <v>1502.36</v>
      </c>
      <c r="AW97" s="26" t="str">
        <f t="shared" si="78"/>
        <v/>
      </c>
      <c r="AX97" s="25">
        <f t="shared" si="79"/>
        <v>18039.060000000001</v>
      </c>
      <c r="AY97" s="25">
        <f t="shared" si="79"/>
        <v>0</v>
      </c>
      <c r="AZ97" s="25">
        <f t="shared" si="80"/>
        <v>18039.060000000001</v>
      </c>
      <c r="BA97" s="26" t="str">
        <f t="shared" si="81"/>
        <v/>
      </c>
    </row>
    <row r="98" spans="1:53" x14ac:dyDescent="0.3">
      <c r="A98" s="21" t="s">
        <v>175</v>
      </c>
      <c r="B98" s="25">
        <f>(((((((((((((((((((((B25)+(B29))+(B30))+(B31))+(B32))+(B33))+(B51))+(B52))+(B53))+(B58))+(B59))+(B60))+(B69))+(B70))+(B71))+(B72))+(B76))+(B77))+(B83))+(B84))+(B91))+(B97)</f>
        <v>64053.01</v>
      </c>
      <c r="C98" s="25">
        <f>(((((((((((((((((((((C25)+(C29))+(C30))+(C31))+(C32))+(C33))+(C51))+(C52))+(C53))+(C58))+(C59))+(C60))+(C69))+(C70))+(C71))+(C72))+(C76))+(C77))+(C83))+(C84))+(C91))+(C97)</f>
        <v>0</v>
      </c>
      <c r="D98" s="25">
        <f t="shared" si="55"/>
        <v>64053.01</v>
      </c>
      <c r="E98" s="26" t="str">
        <f t="shared" si="56"/>
        <v/>
      </c>
      <c r="F98" s="25">
        <f>(((((((((((((((((((((F25)+(F29))+(F30))+(F31))+(F32))+(F33))+(F51))+(F52))+(F53))+(F58))+(F59))+(F60))+(F69))+(F70))+(F71))+(F72))+(F76))+(F77))+(F83))+(F84))+(F91))+(F97)</f>
        <v>64449.850000000006</v>
      </c>
      <c r="G98" s="25">
        <f>(((((((((((((((((((((G25)+(G29))+(G30))+(G31))+(G32))+(G33))+(G51))+(G52))+(G53))+(G58))+(G59))+(G60))+(G69))+(G70))+(G71))+(G72))+(G76))+(G77))+(G83))+(G84))+(G91))+(G97)</f>
        <v>0</v>
      </c>
      <c r="H98" s="25">
        <f t="shared" si="57"/>
        <v>64449.850000000006</v>
      </c>
      <c r="I98" s="26" t="str">
        <f t="shared" si="58"/>
        <v/>
      </c>
      <c r="J98" s="25">
        <f>(((((((((((((((((((((J25)+(J29))+(J30))+(J31))+(J32))+(J33))+(J51))+(J52))+(J53))+(J58))+(J59))+(J60))+(J69))+(J70))+(J71))+(J72))+(J76))+(J77))+(J83))+(J84))+(J91))+(J97)</f>
        <v>54219.010000000009</v>
      </c>
      <c r="K98" s="25">
        <f>(((((((((((((((((((((K25)+(K29))+(K30))+(K31))+(K32))+(K33))+(K51))+(K52))+(K53))+(K58))+(K59))+(K60))+(K69))+(K70))+(K71))+(K72))+(K76))+(K77))+(K83))+(K84))+(K91))+(K97)</f>
        <v>0</v>
      </c>
      <c r="L98" s="25">
        <f t="shared" si="59"/>
        <v>54219.010000000009</v>
      </c>
      <c r="M98" s="26" t="str">
        <f t="shared" si="60"/>
        <v/>
      </c>
      <c r="N98" s="25">
        <f>(((((((((((((((((((((N25)+(N29))+(N30))+(N31))+(N32))+(N33))+(N51))+(N52))+(N53))+(N58))+(N59))+(N60))+(N69))+(N70))+(N71))+(N72))+(N76))+(N77))+(N83))+(N84))+(N91))+(N97)</f>
        <v>59840.57999999998</v>
      </c>
      <c r="O98" s="25">
        <f>(((((((((((((((((((((O25)+(O29))+(O30))+(O31))+(O32))+(O33))+(O51))+(O52))+(O53))+(O58))+(O59))+(O60))+(O69))+(O70))+(O71))+(O72))+(O76))+(O77))+(O83))+(O84))+(O91))+(O97)</f>
        <v>0</v>
      </c>
      <c r="P98" s="25">
        <f t="shared" si="61"/>
        <v>59840.57999999998</v>
      </c>
      <c r="Q98" s="26" t="str">
        <f t="shared" si="62"/>
        <v/>
      </c>
      <c r="R98" s="25">
        <f>(((((((((((((((((((((R25)+(R29))+(R30))+(R31))+(R32))+(R33))+(R51))+(R52))+(R53))+(R58))+(R59))+(R60))+(R69))+(R70))+(R71))+(R72))+(R76))+(R77))+(R83))+(R84))+(R91))+(R97)</f>
        <v>60436.84</v>
      </c>
      <c r="S98" s="25">
        <f>(((((((((((((((((((((S25)+(S29))+(S30))+(S31))+(S32))+(S33))+(S51))+(S52))+(S53))+(S58))+(S59))+(S60))+(S69))+(S70))+(S71))+(S72))+(S76))+(S77))+(S83))+(S84))+(S91))+(S97)</f>
        <v>0</v>
      </c>
      <c r="T98" s="25">
        <f t="shared" si="63"/>
        <v>60436.84</v>
      </c>
      <c r="U98" s="26" t="str">
        <f t="shared" si="64"/>
        <v/>
      </c>
      <c r="V98" s="25">
        <f>(((((((((((((((((((((V25)+(V29))+(V30))+(V31))+(V32))+(V33))+(V51))+(V52))+(V53))+(V58))+(V59))+(V60))+(V69))+(V70))+(V71))+(V72))+(V76))+(V77))+(V83))+(V84))+(V91))+(V97)</f>
        <v>65173.700000000004</v>
      </c>
      <c r="W98" s="25">
        <f>(((((((((((((((((((((W25)+(W29))+(W30))+(W31))+(W32))+(W33))+(W51))+(W52))+(W53))+(W58))+(W59))+(W60))+(W69))+(W70))+(W71))+(W72))+(W76))+(W77))+(W83))+(W84))+(W91))+(W97)</f>
        <v>0</v>
      </c>
      <c r="X98" s="25">
        <f t="shared" si="65"/>
        <v>65173.700000000004</v>
      </c>
      <c r="Y98" s="26" t="str">
        <f t="shared" si="66"/>
        <v/>
      </c>
      <c r="Z98" s="25">
        <f>(((((((((((((((((((((Z25)+(Z29))+(Z30))+(Z31))+(Z32))+(Z33))+(Z51))+(Z52))+(Z53))+(Z58))+(Z59))+(Z60))+(Z69))+(Z70))+(Z71))+(Z72))+(Z76))+(Z77))+(Z83))+(Z84))+(Z91))+(Z97)</f>
        <v>63695.679999999993</v>
      </c>
      <c r="AA98" s="25">
        <f>(((((((((((((((((((((AA25)+(AA29))+(AA30))+(AA31))+(AA32))+(AA33))+(AA51))+(AA52))+(AA53))+(AA58))+(AA59))+(AA60))+(AA69))+(AA70))+(AA71))+(AA72))+(AA76))+(AA77))+(AA83))+(AA84))+(AA91))+(AA97)</f>
        <v>0</v>
      </c>
      <c r="AB98" s="25">
        <f t="shared" si="67"/>
        <v>63695.679999999993</v>
      </c>
      <c r="AC98" s="26" t="str">
        <f t="shared" si="68"/>
        <v/>
      </c>
      <c r="AD98" s="25">
        <f>(((((((((((((((((((((AD25)+(AD29))+(AD30))+(AD31))+(AD32))+(AD33))+(AD51))+(AD52))+(AD53))+(AD58))+(AD59))+(AD60))+(AD69))+(AD70))+(AD71))+(AD72))+(AD76))+(AD77))+(AD83))+(AD84))+(AD91))+(AD97)</f>
        <v>57487.749999999993</v>
      </c>
      <c r="AE98" s="25">
        <f>(((((((((((((((((((((AE25)+(AE29))+(AE30))+(AE31))+(AE32))+(AE33))+(AE51))+(AE52))+(AE53))+(AE58))+(AE59))+(AE60))+(AE69))+(AE70))+(AE71))+(AE72))+(AE76))+(AE77))+(AE83))+(AE84))+(AE91))+(AE97)</f>
        <v>0</v>
      </c>
      <c r="AF98" s="25">
        <f t="shared" si="69"/>
        <v>57487.749999999993</v>
      </c>
      <c r="AG98" s="26" t="str">
        <f t="shared" si="70"/>
        <v/>
      </c>
      <c r="AH98" s="25">
        <f>(((((((((((((((((((((AH25)+(AH29))+(AH30))+(AH31))+(AH32))+(AH33))+(AH51))+(AH52))+(AH53))+(AH58))+(AH59))+(AH60))+(AH69))+(AH70))+(AH71))+(AH72))+(AH76))+(AH77))+(AH83))+(AH84))+(AH91))+(AH97)</f>
        <v>74797.209999999977</v>
      </c>
      <c r="AI98" s="25">
        <f>(((((((((((((((((((((AI25)+(AI29))+(AI30))+(AI31))+(AI32))+(AI33))+(AI51))+(AI52))+(AI53))+(AI58))+(AI59))+(AI60))+(AI69))+(AI70))+(AI71))+(AI72))+(AI76))+(AI77))+(AI83))+(AI84))+(AI91))+(AI97)</f>
        <v>0</v>
      </c>
      <c r="AJ98" s="25">
        <f t="shared" si="71"/>
        <v>74797.209999999977</v>
      </c>
      <c r="AK98" s="26" t="str">
        <f t="shared" si="72"/>
        <v/>
      </c>
      <c r="AL98" s="25">
        <f>(((((((((((((((((((((AL25)+(AL29))+(AL30))+(AL31))+(AL32))+(AL33))+(AL51))+(AL52))+(AL53))+(AL58))+(AL59))+(AL60))+(AL69))+(AL70))+(AL71))+(AL72))+(AL76))+(AL77))+(AL83))+(AL84))+(AL91))+(AL97)</f>
        <v>51006.079999999994</v>
      </c>
      <c r="AM98" s="25">
        <f>(((((((((((((((((((((AM25)+(AM29))+(AM30))+(AM31))+(AM32))+(AM33))+(AM51))+(AM52))+(AM53))+(AM58))+(AM59))+(AM60))+(AM69))+(AM70))+(AM71))+(AM72))+(AM76))+(AM77))+(AM83))+(AM84))+(AM91))+(AM97)</f>
        <v>0</v>
      </c>
      <c r="AN98" s="25">
        <f t="shared" si="73"/>
        <v>51006.079999999994</v>
      </c>
      <c r="AO98" s="26" t="str">
        <f t="shared" si="74"/>
        <v/>
      </c>
      <c r="AP98" s="25">
        <f>(((((((((((((((((((((AP25)+(AP29))+(AP30))+(AP31))+(AP32))+(AP33))+(AP51))+(AP52))+(AP53))+(AP58))+(AP59))+(AP60))+(AP69))+(AP70))+(AP71))+(AP72))+(AP76))+(AP77))+(AP83))+(AP84))+(AP91))+(AP97)</f>
        <v>61296</v>
      </c>
      <c r="AQ98" s="25">
        <f>(((((((((((((((((((((AQ25)+(AQ29))+(AQ30))+(AQ31))+(AQ32))+(AQ33))+(AQ51))+(AQ52))+(AQ53))+(AQ58))+(AQ59))+(AQ60))+(AQ69))+(AQ70))+(AQ71))+(AQ72))+(AQ76))+(AQ77))+(AQ83))+(AQ84))+(AQ91))+(AQ97)</f>
        <v>0</v>
      </c>
      <c r="AR98" s="25">
        <f t="shared" si="75"/>
        <v>61296</v>
      </c>
      <c r="AS98" s="26" t="str">
        <f t="shared" si="76"/>
        <v/>
      </c>
      <c r="AT98" s="25">
        <f>(((((((((((((((((((((AT25)+(AT29))+(AT30))+(AT31))+(AT32))+(AT33))+(AT51))+(AT52))+(AT53))+(AT58))+(AT59))+(AT60))+(AT69))+(AT70))+(AT71))+(AT72))+(AT76))+(AT77))+(AT83))+(AT84))+(AT91))+(AT97)</f>
        <v>73289.010000000009</v>
      </c>
      <c r="AU98" s="25">
        <f>(((((((((((((((((((((AU25)+(AU29))+(AU30))+(AU31))+(AU32))+(AU33))+(AU51))+(AU52))+(AU53))+(AU58))+(AU59))+(AU60))+(AU69))+(AU70))+(AU71))+(AU72))+(AU76))+(AU77))+(AU83))+(AU84))+(AU91))+(AU97)</f>
        <v>0</v>
      </c>
      <c r="AV98" s="25">
        <f t="shared" si="77"/>
        <v>73289.010000000009</v>
      </c>
      <c r="AW98" s="26" t="str">
        <f t="shared" si="78"/>
        <v/>
      </c>
      <c r="AX98" s="25">
        <f t="shared" si="79"/>
        <v>749744.72</v>
      </c>
      <c r="AY98" s="25">
        <f t="shared" si="79"/>
        <v>0</v>
      </c>
      <c r="AZ98" s="25">
        <f t="shared" si="80"/>
        <v>749744.72</v>
      </c>
      <c r="BA98" s="26" t="str">
        <f t="shared" si="81"/>
        <v/>
      </c>
    </row>
    <row r="99" spans="1:53" x14ac:dyDescent="0.3">
      <c r="A99" s="21" t="s">
        <v>176</v>
      </c>
      <c r="B99" s="25">
        <f>(B18)-(B98)</f>
        <v>-30519.890000000007</v>
      </c>
      <c r="C99" s="25">
        <f>(C18)-(C98)</f>
        <v>0</v>
      </c>
      <c r="D99" s="25">
        <f t="shared" si="55"/>
        <v>-30519.890000000007</v>
      </c>
      <c r="E99" s="26" t="str">
        <f t="shared" si="56"/>
        <v/>
      </c>
      <c r="F99" s="25">
        <f>(F18)-(F98)</f>
        <v>278088.61</v>
      </c>
      <c r="G99" s="25">
        <f>(G18)-(G98)</f>
        <v>0</v>
      </c>
      <c r="H99" s="25">
        <f t="shared" si="57"/>
        <v>278088.61</v>
      </c>
      <c r="I99" s="26" t="str">
        <f t="shared" si="58"/>
        <v/>
      </c>
      <c r="J99" s="25">
        <f>(J18)-(J98)</f>
        <v>12495.029999999999</v>
      </c>
      <c r="K99" s="25">
        <f>(K18)-(K98)</f>
        <v>0</v>
      </c>
      <c r="L99" s="25">
        <f t="shared" si="59"/>
        <v>12495.029999999999</v>
      </c>
      <c r="M99" s="26" t="str">
        <f t="shared" si="60"/>
        <v/>
      </c>
      <c r="N99" s="25">
        <f>(N18)-(N98)</f>
        <v>132335.76</v>
      </c>
      <c r="O99" s="25">
        <f>(O18)-(O98)</f>
        <v>0</v>
      </c>
      <c r="P99" s="25">
        <f t="shared" si="61"/>
        <v>132335.76</v>
      </c>
      <c r="Q99" s="26" t="str">
        <f t="shared" si="62"/>
        <v/>
      </c>
      <c r="R99" s="25">
        <f>(R18)-(R98)</f>
        <v>-8321.14</v>
      </c>
      <c r="S99" s="25">
        <f>(S18)-(S98)</f>
        <v>0</v>
      </c>
      <c r="T99" s="25">
        <f t="shared" si="63"/>
        <v>-8321.14</v>
      </c>
      <c r="U99" s="26" t="str">
        <f t="shared" si="64"/>
        <v/>
      </c>
      <c r="V99" s="25">
        <f>(V18)-(V98)</f>
        <v>212320.32000000007</v>
      </c>
      <c r="W99" s="25">
        <f>(W18)-(W98)</f>
        <v>0</v>
      </c>
      <c r="X99" s="25">
        <f t="shared" si="65"/>
        <v>212320.32000000007</v>
      </c>
      <c r="Y99" s="26" t="str">
        <f t="shared" si="66"/>
        <v/>
      </c>
      <c r="Z99" s="25">
        <f>(Z18)-(Z98)</f>
        <v>-44066.889999999992</v>
      </c>
      <c r="AA99" s="25">
        <f>(AA18)-(AA98)</f>
        <v>0</v>
      </c>
      <c r="AB99" s="25">
        <f t="shared" si="67"/>
        <v>-44066.889999999992</v>
      </c>
      <c r="AC99" s="26" t="str">
        <f t="shared" si="68"/>
        <v/>
      </c>
      <c r="AD99" s="25">
        <f>(AD18)-(AD98)</f>
        <v>-41951.899999999994</v>
      </c>
      <c r="AE99" s="25">
        <f>(AE18)-(AE98)</f>
        <v>0</v>
      </c>
      <c r="AF99" s="25">
        <f t="shared" si="69"/>
        <v>-41951.899999999994</v>
      </c>
      <c r="AG99" s="26" t="str">
        <f t="shared" si="70"/>
        <v/>
      </c>
      <c r="AH99" s="25">
        <f>(AH18)-(AH98)</f>
        <v>-60798.909999999974</v>
      </c>
      <c r="AI99" s="25">
        <f>(AI18)-(AI98)</f>
        <v>0</v>
      </c>
      <c r="AJ99" s="25">
        <f t="shared" si="71"/>
        <v>-60798.909999999974</v>
      </c>
      <c r="AK99" s="26" t="str">
        <f t="shared" si="72"/>
        <v/>
      </c>
      <c r="AL99" s="25">
        <f>(AL18)-(AL98)</f>
        <v>-38056.929999999993</v>
      </c>
      <c r="AM99" s="25">
        <f>(AM18)-(AM98)</f>
        <v>0</v>
      </c>
      <c r="AN99" s="25">
        <f t="shared" si="73"/>
        <v>-38056.929999999993</v>
      </c>
      <c r="AO99" s="26" t="str">
        <f t="shared" si="74"/>
        <v/>
      </c>
      <c r="AP99" s="25">
        <f>(AP18)-(AP98)</f>
        <v>-45718.04</v>
      </c>
      <c r="AQ99" s="25">
        <f>(AQ18)-(AQ98)</f>
        <v>0</v>
      </c>
      <c r="AR99" s="25">
        <f t="shared" si="75"/>
        <v>-45718.04</v>
      </c>
      <c r="AS99" s="26" t="str">
        <f t="shared" si="76"/>
        <v/>
      </c>
      <c r="AT99" s="25">
        <f>(AT18)-(AT98)</f>
        <v>-63782.070000000007</v>
      </c>
      <c r="AU99" s="25">
        <f>(AU18)-(AU98)</f>
        <v>0</v>
      </c>
      <c r="AV99" s="25">
        <f t="shared" si="77"/>
        <v>-63782.070000000007</v>
      </c>
      <c r="AW99" s="26" t="str">
        <f t="shared" si="78"/>
        <v/>
      </c>
      <c r="AX99" s="25">
        <f t="shared" si="79"/>
        <v>302023.95000000007</v>
      </c>
      <c r="AY99" s="25">
        <f t="shared" si="79"/>
        <v>0</v>
      </c>
      <c r="AZ99" s="25">
        <f t="shared" si="80"/>
        <v>302023.95000000007</v>
      </c>
      <c r="BA99" s="26" t="str">
        <f t="shared" si="81"/>
        <v/>
      </c>
    </row>
    <row r="100" spans="1:53" x14ac:dyDescent="0.3">
      <c r="A100" s="21" t="s">
        <v>64</v>
      </c>
      <c r="B100" s="25">
        <f>(B99)+(0)</f>
        <v>-30519.890000000007</v>
      </c>
      <c r="C100" s="25">
        <f>(C99)+(0)</f>
        <v>0</v>
      </c>
      <c r="D100" s="25">
        <f t="shared" si="55"/>
        <v>-30519.890000000007</v>
      </c>
      <c r="E100" s="26" t="str">
        <f t="shared" si="56"/>
        <v/>
      </c>
      <c r="F100" s="25">
        <f>(F99)+(0)</f>
        <v>278088.61</v>
      </c>
      <c r="G100" s="25">
        <f>(G99)+(0)</f>
        <v>0</v>
      </c>
      <c r="H100" s="25">
        <f t="shared" si="57"/>
        <v>278088.61</v>
      </c>
      <c r="I100" s="26" t="str">
        <f t="shared" si="58"/>
        <v/>
      </c>
      <c r="J100" s="25">
        <f>(J99)+(0)</f>
        <v>12495.029999999999</v>
      </c>
      <c r="K100" s="25">
        <f>(K99)+(0)</f>
        <v>0</v>
      </c>
      <c r="L100" s="25">
        <f t="shared" si="59"/>
        <v>12495.029999999999</v>
      </c>
      <c r="M100" s="26" t="str">
        <f t="shared" si="60"/>
        <v/>
      </c>
      <c r="N100" s="25">
        <f>(N99)+(0)</f>
        <v>132335.76</v>
      </c>
      <c r="O100" s="25">
        <f>(O99)+(0)</f>
        <v>0</v>
      </c>
      <c r="P100" s="25">
        <f t="shared" si="61"/>
        <v>132335.76</v>
      </c>
      <c r="Q100" s="26" t="str">
        <f t="shared" si="62"/>
        <v/>
      </c>
      <c r="R100" s="25">
        <f>(R99)+(0)</f>
        <v>-8321.14</v>
      </c>
      <c r="S100" s="25">
        <f>(S99)+(0)</f>
        <v>0</v>
      </c>
      <c r="T100" s="25">
        <f t="shared" si="63"/>
        <v>-8321.14</v>
      </c>
      <c r="U100" s="26" t="str">
        <f t="shared" si="64"/>
        <v/>
      </c>
      <c r="V100" s="25">
        <f>(V99)+(0)</f>
        <v>212320.32000000007</v>
      </c>
      <c r="W100" s="25">
        <f>(W99)+(0)</f>
        <v>0</v>
      </c>
      <c r="X100" s="25">
        <f t="shared" si="65"/>
        <v>212320.32000000007</v>
      </c>
      <c r="Y100" s="26" t="str">
        <f t="shared" si="66"/>
        <v/>
      </c>
      <c r="Z100" s="25">
        <f>(Z99)+(0)</f>
        <v>-44066.889999999992</v>
      </c>
      <c r="AA100" s="25">
        <f>(AA99)+(0)</f>
        <v>0</v>
      </c>
      <c r="AB100" s="25">
        <f t="shared" si="67"/>
        <v>-44066.889999999992</v>
      </c>
      <c r="AC100" s="26" t="str">
        <f t="shared" si="68"/>
        <v/>
      </c>
      <c r="AD100" s="25">
        <f>(AD99)+(0)</f>
        <v>-41951.899999999994</v>
      </c>
      <c r="AE100" s="25">
        <f>(AE99)+(0)</f>
        <v>0</v>
      </c>
      <c r="AF100" s="25">
        <f t="shared" si="69"/>
        <v>-41951.899999999994</v>
      </c>
      <c r="AG100" s="26" t="str">
        <f t="shared" si="70"/>
        <v/>
      </c>
      <c r="AH100" s="25">
        <f>(AH99)+(0)</f>
        <v>-60798.909999999974</v>
      </c>
      <c r="AI100" s="25">
        <f>(AI99)+(0)</f>
        <v>0</v>
      </c>
      <c r="AJ100" s="25">
        <f t="shared" si="71"/>
        <v>-60798.909999999974</v>
      </c>
      <c r="AK100" s="26" t="str">
        <f t="shared" si="72"/>
        <v/>
      </c>
      <c r="AL100" s="25">
        <f>(AL99)+(0)</f>
        <v>-38056.929999999993</v>
      </c>
      <c r="AM100" s="25">
        <f>(AM99)+(0)</f>
        <v>0</v>
      </c>
      <c r="AN100" s="25">
        <f t="shared" si="73"/>
        <v>-38056.929999999993</v>
      </c>
      <c r="AO100" s="26" t="str">
        <f t="shared" si="74"/>
        <v/>
      </c>
      <c r="AP100" s="25">
        <f>(AP99)+(0)</f>
        <v>-45718.04</v>
      </c>
      <c r="AQ100" s="25">
        <f>(AQ99)+(0)</f>
        <v>0</v>
      </c>
      <c r="AR100" s="25">
        <f t="shared" si="75"/>
        <v>-45718.04</v>
      </c>
      <c r="AS100" s="26" t="str">
        <f t="shared" si="76"/>
        <v/>
      </c>
      <c r="AT100" s="25">
        <f>(AT99)+(0)</f>
        <v>-63782.070000000007</v>
      </c>
      <c r="AU100" s="25">
        <f>(AU99)+(0)</f>
        <v>0</v>
      </c>
      <c r="AV100" s="25">
        <f t="shared" si="77"/>
        <v>-63782.070000000007</v>
      </c>
      <c r="AW100" s="26" t="str">
        <f t="shared" si="78"/>
        <v/>
      </c>
      <c r="AX100" s="25">
        <f t="shared" si="79"/>
        <v>302023.95000000007</v>
      </c>
      <c r="AY100" s="25">
        <f t="shared" si="79"/>
        <v>0</v>
      </c>
      <c r="AZ100" s="25">
        <f t="shared" si="80"/>
        <v>302023.95000000007</v>
      </c>
      <c r="BA100" s="26" t="str">
        <f t="shared" si="81"/>
        <v/>
      </c>
    </row>
    <row r="101" spans="1:53" x14ac:dyDescent="0.3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</row>
    <row r="104" spans="1:53" x14ac:dyDescent="0.3">
      <c r="A104" s="43" t="s">
        <v>177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</row>
  </sheetData>
  <mergeCells count="17"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  <mergeCell ref="A104:BA104"/>
    <mergeCell ref="AD5:AG5"/>
    <mergeCell ref="AH5:AK5"/>
    <mergeCell ref="AL5:AO5"/>
    <mergeCell ref="AP5:AS5"/>
    <mergeCell ref="AT5:AW5"/>
    <mergeCell ref="AX5:B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0E42-888F-400F-BBC3-F7DADBAA5FD2}">
  <dimension ref="A1:BA104"/>
  <sheetViews>
    <sheetView tabSelected="1" topLeftCell="A80" workbookViewId="0">
      <selection activeCell="AX99" sqref="AX99"/>
    </sheetView>
  </sheetViews>
  <sheetFormatPr defaultRowHeight="14.4" x14ac:dyDescent="0.3"/>
  <cols>
    <col min="1" max="1" width="29.33203125" style="51" customWidth="1"/>
    <col min="2" max="2" width="11.109375" style="51" hidden="1" customWidth="1"/>
    <col min="3" max="3" width="7.6640625" style="51" hidden="1" customWidth="1"/>
    <col min="4" max="4" width="11.109375" style="51" hidden="1" customWidth="1"/>
    <col min="5" max="5" width="7.6640625" style="51" hidden="1" customWidth="1"/>
    <col min="6" max="6" width="10.33203125" style="51" hidden="1" customWidth="1"/>
    <col min="7" max="7" width="7.6640625" style="51" hidden="1" customWidth="1"/>
    <col min="8" max="8" width="10.33203125" style="51" hidden="1" customWidth="1"/>
    <col min="9" max="9" width="7.6640625" style="51" hidden="1" customWidth="1"/>
    <col min="10" max="10" width="9.44140625" style="51" hidden="1" customWidth="1"/>
    <col min="11" max="11" width="7.6640625" style="51" hidden="1" customWidth="1"/>
    <col min="12" max="12" width="9.44140625" style="51" hidden="1" customWidth="1"/>
    <col min="13" max="13" width="7.6640625" style="51" hidden="1" customWidth="1"/>
    <col min="14" max="14" width="10.33203125" style="51" hidden="1" customWidth="1"/>
    <col min="15" max="15" width="7.6640625" style="51" hidden="1" customWidth="1"/>
    <col min="16" max="16" width="10.33203125" style="51" hidden="1" customWidth="1"/>
    <col min="17" max="17" width="7.6640625" style="51" hidden="1" customWidth="1"/>
    <col min="18" max="18" width="10.33203125" style="51" hidden="1" customWidth="1"/>
    <col min="19" max="19" width="7.6640625" style="51" hidden="1" customWidth="1"/>
    <col min="20" max="20" width="10.33203125" style="51" hidden="1" customWidth="1"/>
    <col min="21" max="21" width="7.6640625" style="51" hidden="1" customWidth="1"/>
    <col min="22" max="22" width="10.33203125" style="51" hidden="1" customWidth="1"/>
    <col min="23" max="23" width="7.6640625" style="51" hidden="1" customWidth="1"/>
    <col min="24" max="24" width="10.33203125" style="51" hidden="1" customWidth="1"/>
    <col min="25" max="25" width="7.6640625" style="51" hidden="1" customWidth="1"/>
    <col min="26" max="26" width="11.109375" style="51" hidden="1" customWidth="1"/>
    <col min="27" max="27" width="7.6640625" style="51" hidden="1" customWidth="1"/>
    <col min="28" max="28" width="11.109375" style="51" hidden="1" customWidth="1"/>
    <col min="29" max="29" width="7.6640625" style="51" hidden="1" customWidth="1"/>
    <col min="30" max="30" width="11.109375" style="51" hidden="1" customWidth="1"/>
    <col min="31" max="31" width="7.6640625" style="51" hidden="1" customWidth="1"/>
    <col min="32" max="32" width="11.109375" style="51" hidden="1" customWidth="1"/>
    <col min="33" max="33" width="7.6640625" style="51" hidden="1" customWidth="1"/>
    <col min="34" max="34" width="11.109375" style="51" hidden="1" customWidth="1"/>
    <col min="35" max="35" width="7.6640625" style="51" hidden="1" customWidth="1"/>
    <col min="36" max="36" width="11.109375" style="51" hidden="1" customWidth="1"/>
    <col min="37" max="37" width="7.6640625" style="51" hidden="1" customWidth="1"/>
    <col min="38" max="38" width="11.109375" style="51" hidden="1" customWidth="1"/>
    <col min="39" max="39" width="7.6640625" style="51" hidden="1" customWidth="1"/>
    <col min="40" max="40" width="11.109375" style="51" hidden="1" customWidth="1"/>
    <col min="41" max="41" width="7.6640625" style="51" hidden="1" customWidth="1"/>
    <col min="42" max="42" width="11.109375" style="51" hidden="1" customWidth="1"/>
    <col min="43" max="43" width="7.6640625" style="51" hidden="1" customWidth="1"/>
    <col min="44" max="44" width="11.109375" style="51" hidden="1" customWidth="1"/>
    <col min="45" max="45" width="7.6640625" style="51" hidden="1" customWidth="1"/>
    <col min="46" max="46" width="11.109375" style="51" hidden="1" customWidth="1"/>
    <col min="47" max="47" width="7.6640625" style="51" hidden="1" customWidth="1"/>
    <col min="48" max="48" width="11.109375" style="51" hidden="1" customWidth="1"/>
    <col min="49" max="49" width="7.6640625" style="51" hidden="1" customWidth="1"/>
    <col min="50" max="50" width="12" style="51" customWidth="1"/>
    <col min="51" max="51" width="11.21875" style="51" customWidth="1"/>
    <col min="52" max="52" width="12" style="51" customWidth="1"/>
    <col min="53" max="53" width="7.6640625" style="51" customWidth="1"/>
    <col min="54" max="16384" width="8.88671875" style="51"/>
  </cols>
  <sheetData>
    <row r="1" spans="1:53" ht="17.399999999999999" x14ac:dyDescent="0.3">
      <c r="A1" s="49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</row>
    <row r="2" spans="1:53" ht="17.399999999999999" x14ac:dyDescent="0.3">
      <c r="A2" s="49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</row>
    <row r="3" spans="1:53" x14ac:dyDescent="0.3">
      <c r="A3" s="52" t="s">
        <v>69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</row>
    <row r="5" spans="1:53" x14ac:dyDescent="0.3">
      <c r="A5" s="53"/>
      <c r="B5" s="54" t="s">
        <v>70</v>
      </c>
      <c r="C5" s="55"/>
      <c r="D5" s="55"/>
      <c r="E5" s="55"/>
      <c r="F5" s="54" t="s">
        <v>71</v>
      </c>
      <c r="G5" s="55"/>
      <c r="H5" s="55"/>
      <c r="I5" s="55"/>
      <c r="J5" s="54" t="s">
        <v>72</v>
      </c>
      <c r="K5" s="55"/>
      <c r="L5" s="55"/>
      <c r="M5" s="55"/>
      <c r="N5" s="54" t="s">
        <v>73</v>
      </c>
      <c r="O5" s="55"/>
      <c r="P5" s="55"/>
      <c r="Q5" s="55"/>
      <c r="R5" s="54" t="s">
        <v>74</v>
      </c>
      <c r="S5" s="55"/>
      <c r="T5" s="55"/>
      <c r="U5" s="55"/>
      <c r="V5" s="54" t="s">
        <v>75</v>
      </c>
      <c r="W5" s="55"/>
      <c r="X5" s="55"/>
      <c r="Y5" s="55"/>
      <c r="Z5" s="54" t="s">
        <v>76</v>
      </c>
      <c r="AA5" s="55"/>
      <c r="AB5" s="55"/>
      <c r="AC5" s="55"/>
      <c r="AD5" s="54" t="s">
        <v>77</v>
      </c>
      <c r="AE5" s="55"/>
      <c r="AF5" s="55"/>
      <c r="AG5" s="55"/>
      <c r="AH5" s="54" t="s">
        <v>78</v>
      </c>
      <c r="AI5" s="55"/>
      <c r="AJ5" s="55"/>
      <c r="AK5" s="55"/>
      <c r="AL5" s="54" t="s">
        <v>79</v>
      </c>
      <c r="AM5" s="55"/>
      <c r="AN5" s="55"/>
      <c r="AO5" s="55"/>
      <c r="AP5" s="54" t="s">
        <v>80</v>
      </c>
      <c r="AQ5" s="55"/>
      <c r="AR5" s="55"/>
      <c r="AS5" s="55"/>
      <c r="AT5" s="54" t="s">
        <v>81</v>
      </c>
      <c r="AU5" s="55"/>
      <c r="AV5" s="55"/>
      <c r="AW5" s="55"/>
      <c r="AX5" s="54" t="s">
        <v>4</v>
      </c>
      <c r="AY5" s="55"/>
      <c r="AZ5" s="55"/>
      <c r="BA5" s="55"/>
    </row>
    <row r="6" spans="1:53" ht="24.6" x14ac:dyDescent="0.3">
      <c r="A6" s="53"/>
      <c r="B6" s="56" t="s">
        <v>82</v>
      </c>
      <c r="C6" s="56" t="s">
        <v>83</v>
      </c>
      <c r="D6" s="56" t="s">
        <v>84</v>
      </c>
      <c r="E6" s="56" t="s">
        <v>85</v>
      </c>
      <c r="F6" s="56" t="s">
        <v>82</v>
      </c>
      <c r="G6" s="56" t="s">
        <v>83</v>
      </c>
      <c r="H6" s="56" t="s">
        <v>84</v>
      </c>
      <c r="I6" s="56" t="s">
        <v>85</v>
      </c>
      <c r="J6" s="56" t="s">
        <v>82</v>
      </c>
      <c r="K6" s="56" t="s">
        <v>83</v>
      </c>
      <c r="L6" s="56" t="s">
        <v>84</v>
      </c>
      <c r="M6" s="56" t="s">
        <v>85</v>
      </c>
      <c r="N6" s="56" t="s">
        <v>82</v>
      </c>
      <c r="O6" s="56" t="s">
        <v>83</v>
      </c>
      <c r="P6" s="56" t="s">
        <v>84</v>
      </c>
      <c r="Q6" s="56" t="s">
        <v>85</v>
      </c>
      <c r="R6" s="56" t="s">
        <v>82</v>
      </c>
      <c r="S6" s="56" t="s">
        <v>83</v>
      </c>
      <c r="T6" s="56" t="s">
        <v>84</v>
      </c>
      <c r="U6" s="56" t="s">
        <v>85</v>
      </c>
      <c r="V6" s="56" t="s">
        <v>82</v>
      </c>
      <c r="W6" s="56" t="s">
        <v>83</v>
      </c>
      <c r="X6" s="56" t="s">
        <v>84</v>
      </c>
      <c r="Y6" s="56" t="s">
        <v>85</v>
      </c>
      <c r="Z6" s="56" t="s">
        <v>82</v>
      </c>
      <c r="AA6" s="56" t="s">
        <v>83</v>
      </c>
      <c r="AB6" s="56" t="s">
        <v>84</v>
      </c>
      <c r="AC6" s="56" t="s">
        <v>85</v>
      </c>
      <c r="AD6" s="56" t="s">
        <v>82</v>
      </c>
      <c r="AE6" s="56" t="s">
        <v>83</v>
      </c>
      <c r="AF6" s="56" t="s">
        <v>84</v>
      </c>
      <c r="AG6" s="56" t="s">
        <v>85</v>
      </c>
      <c r="AH6" s="56" t="s">
        <v>82</v>
      </c>
      <c r="AI6" s="56" t="s">
        <v>83</v>
      </c>
      <c r="AJ6" s="56" t="s">
        <v>84</v>
      </c>
      <c r="AK6" s="56" t="s">
        <v>85</v>
      </c>
      <c r="AL6" s="56" t="s">
        <v>82</v>
      </c>
      <c r="AM6" s="56" t="s">
        <v>83</v>
      </c>
      <c r="AN6" s="56" t="s">
        <v>84</v>
      </c>
      <c r="AO6" s="56" t="s">
        <v>85</v>
      </c>
      <c r="AP6" s="56" t="s">
        <v>82</v>
      </c>
      <c r="AQ6" s="56" t="s">
        <v>83</v>
      </c>
      <c r="AR6" s="56" t="s">
        <v>84</v>
      </c>
      <c r="AS6" s="56" t="s">
        <v>85</v>
      </c>
      <c r="AT6" s="56" t="s">
        <v>82</v>
      </c>
      <c r="AU6" s="56" t="s">
        <v>83</v>
      </c>
      <c r="AV6" s="56" t="s">
        <v>84</v>
      </c>
      <c r="AW6" s="56" t="s">
        <v>85</v>
      </c>
      <c r="AX6" s="56" t="s">
        <v>82</v>
      </c>
      <c r="AY6" s="56" t="s">
        <v>83</v>
      </c>
      <c r="AZ6" s="56" t="s">
        <v>84</v>
      </c>
      <c r="BA6" s="56" t="s">
        <v>85</v>
      </c>
    </row>
    <row r="7" spans="1:53" x14ac:dyDescent="0.3">
      <c r="A7" s="57" t="s">
        <v>86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</row>
    <row r="8" spans="1:53" x14ac:dyDescent="0.3">
      <c r="A8" s="57" t="s">
        <v>87</v>
      </c>
      <c r="B8" s="58"/>
      <c r="C8" s="58"/>
      <c r="D8" s="59">
        <f t="shared" ref="D8:D18" si="0">(B8)-(C8)</f>
        <v>0</v>
      </c>
      <c r="E8" s="60" t="str">
        <f t="shared" ref="E8:E18" si="1">IF(C8=0,"",(B8)/(C8))</f>
        <v/>
      </c>
      <c r="F8" s="58"/>
      <c r="G8" s="58"/>
      <c r="H8" s="59">
        <f t="shared" ref="H8:H18" si="2">(F8)-(G8)</f>
        <v>0</v>
      </c>
      <c r="I8" s="60" t="str">
        <f t="shared" ref="I8:I18" si="3">IF(G8=0,"",(F8)/(G8))</f>
        <v/>
      </c>
      <c r="J8" s="58"/>
      <c r="K8" s="58"/>
      <c r="L8" s="59">
        <f t="shared" ref="L8:L18" si="4">(J8)-(K8)</f>
        <v>0</v>
      </c>
      <c r="M8" s="60" t="str">
        <f t="shared" ref="M8:M18" si="5">IF(K8=0,"",(J8)/(K8))</f>
        <v/>
      </c>
      <c r="N8" s="58"/>
      <c r="O8" s="58"/>
      <c r="P8" s="59">
        <f t="shared" ref="P8:P18" si="6">(N8)-(O8)</f>
        <v>0</v>
      </c>
      <c r="Q8" s="60" t="str">
        <f t="shared" ref="Q8:Q18" si="7">IF(O8=0,"",(N8)/(O8))</f>
        <v/>
      </c>
      <c r="R8" s="58"/>
      <c r="S8" s="58"/>
      <c r="T8" s="59">
        <f t="shared" ref="T8:T18" si="8">(R8)-(S8)</f>
        <v>0</v>
      </c>
      <c r="U8" s="60" t="str">
        <f t="shared" ref="U8:U18" si="9">IF(S8=0,"",(R8)/(S8))</f>
        <v/>
      </c>
      <c r="V8" s="58"/>
      <c r="W8" s="58"/>
      <c r="X8" s="59">
        <f t="shared" ref="X8:X18" si="10">(V8)-(W8)</f>
        <v>0</v>
      </c>
      <c r="Y8" s="60" t="str">
        <f t="shared" ref="Y8:Y18" si="11">IF(W8=0,"",(V8)/(W8))</f>
        <v/>
      </c>
      <c r="Z8" s="58"/>
      <c r="AA8" s="58"/>
      <c r="AB8" s="59">
        <f t="shared" ref="AB8:AB18" si="12">(Z8)-(AA8)</f>
        <v>0</v>
      </c>
      <c r="AC8" s="60" t="str">
        <f t="shared" ref="AC8:AC18" si="13">IF(AA8=0,"",(Z8)/(AA8))</f>
        <v/>
      </c>
      <c r="AD8" s="58"/>
      <c r="AE8" s="58"/>
      <c r="AF8" s="59">
        <f t="shared" ref="AF8:AF18" si="14">(AD8)-(AE8)</f>
        <v>0</v>
      </c>
      <c r="AG8" s="60" t="str">
        <f t="shared" ref="AG8:AG18" si="15">IF(AE8=0,"",(AD8)/(AE8))</f>
        <v/>
      </c>
      <c r="AH8" s="58"/>
      <c r="AI8" s="58"/>
      <c r="AJ8" s="59">
        <f t="shared" ref="AJ8:AJ18" si="16">(AH8)-(AI8)</f>
        <v>0</v>
      </c>
      <c r="AK8" s="60" t="str">
        <f t="shared" ref="AK8:AK18" si="17">IF(AI8=0,"",(AH8)/(AI8))</f>
        <v/>
      </c>
      <c r="AL8" s="58"/>
      <c r="AM8" s="58"/>
      <c r="AN8" s="59">
        <f t="shared" ref="AN8:AN18" si="18">(AL8)-(AM8)</f>
        <v>0</v>
      </c>
      <c r="AO8" s="60" t="str">
        <f t="shared" ref="AO8:AO18" si="19">IF(AM8=0,"",(AL8)/(AM8))</f>
        <v/>
      </c>
      <c r="AP8" s="58"/>
      <c r="AQ8" s="58"/>
      <c r="AR8" s="59">
        <f t="shared" ref="AR8:AR18" si="20">(AP8)-(AQ8)</f>
        <v>0</v>
      </c>
      <c r="AS8" s="60" t="str">
        <f t="shared" ref="AS8:AS18" si="21">IF(AQ8=0,"",(AP8)/(AQ8))</f>
        <v/>
      </c>
      <c r="AT8" s="58"/>
      <c r="AU8" s="58"/>
      <c r="AV8" s="59">
        <f t="shared" ref="AV8:AV18" si="22">(AT8)-(AU8)</f>
        <v>0</v>
      </c>
      <c r="AW8" s="60" t="str">
        <f t="shared" ref="AW8:AW18" si="23">IF(AU8=0,"",(AT8)/(AU8))</f>
        <v/>
      </c>
      <c r="AX8" s="59">
        <f t="shared" ref="AX8:AY18" si="24">(((((((((((B8)+(F8))+(J8))+(N8))+(R8))+(V8))+(Z8))+(AD8))+(AH8))+(AL8))+(AP8))+(AT8)</f>
        <v>0</v>
      </c>
      <c r="AY8" s="59">
        <f t="shared" si="24"/>
        <v>0</v>
      </c>
      <c r="AZ8" s="59">
        <f t="shared" ref="AZ8:AZ18" si="25">(AX8)-(AY8)</f>
        <v>0</v>
      </c>
      <c r="BA8" s="60" t="str">
        <f t="shared" ref="BA8:BA18" si="26">IF(AY8=0,"",(AX8)/(AY8))</f>
        <v/>
      </c>
    </row>
    <row r="9" spans="1:53" x14ac:dyDescent="0.3">
      <c r="A9" s="57" t="s">
        <v>88</v>
      </c>
      <c r="B9" s="58"/>
      <c r="C9" s="58"/>
      <c r="D9" s="59">
        <f t="shared" si="0"/>
        <v>0</v>
      </c>
      <c r="E9" s="60" t="str">
        <f t="shared" si="1"/>
        <v/>
      </c>
      <c r="F9" s="58"/>
      <c r="G9" s="58"/>
      <c r="H9" s="59">
        <f t="shared" si="2"/>
        <v>0</v>
      </c>
      <c r="I9" s="60" t="str">
        <f t="shared" si="3"/>
        <v/>
      </c>
      <c r="J9" s="59">
        <f>9460</f>
        <v>9460</v>
      </c>
      <c r="K9" s="58"/>
      <c r="L9" s="59">
        <f t="shared" si="4"/>
        <v>9460</v>
      </c>
      <c r="M9" s="60" t="str">
        <f t="shared" si="5"/>
        <v/>
      </c>
      <c r="N9" s="58"/>
      <c r="O9" s="58"/>
      <c r="P9" s="59">
        <f t="shared" si="6"/>
        <v>0</v>
      </c>
      <c r="Q9" s="60" t="str">
        <f t="shared" si="7"/>
        <v/>
      </c>
      <c r="R9" s="58"/>
      <c r="S9" s="58"/>
      <c r="T9" s="59">
        <f t="shared" si="8"/>
        <v>0</v>
      </c>
      <c r="U9" s="60" t="str">
        <f t="shared" si="9"/>
        <v/>
      </c>
      <c r="V9" s="58"/>
      <c r="W9" s="58"/>
      <c r="X9" s="59">
        <f t="shared" si="10"/>
        <v>0</v>
      </c>
      <c r="Y9" s="60" t="str">
        <f t="shared" si="11"/>
        <v/>
      </c>
      <c r="Z9" s="58"/>
      <c r="AA9" s="58"/>
      <c r="AB9" s="59">
        <f t="shared" si="12"/>
        <v>0</v>
      </c>
      <c r="AC9" s="60" t="str">
        <f t="shared" si="13"/>
        <v/>
      </c>
      <c r="AD9" s="58"/>
      <c r="AE9" s="58"/>
      <c r="AF9" s="59">
        <f t="shared" si="14"/>
        <v>0</v>
      </c>
      <c r="AG9" s="60" t="str">
        <f t="shared" si="15"/>
        <v/>
      </c>
      <c r="AH9" s="58"/>
      <c r="AI9" s="58"/>
      <c r="AJ9" s="59">
        <f t="shared" si="16"/>
        <v>0</v>
      </c>
      <c r="AK9" s="60" t="str">
        <f t="shared" si="17"/>
        <v/>
      </c>
      <c r="AL9" s="58"/>
      <c r="AM9" s="58"/>
      <c r="AN9" s="59">
        <f t="shared" si="18"/>
        <v>0</v>
      </c>
      <c r="AO9" s="60" t="str">
        <f t="shared" si="19"/>
        <v/>
      </c>
      <c r="AP9" s="58"/>
      <c r="AQ9" s="58"/>
      <c r="AR9" s="59">
        <f t="shared" si="20"/>
        <v>0</v>
      </c>
      <c r="AS9" s="60" t="str">
        <f t="shared" si="21"/>
        <v/>
      </c>
      <c r="AT9" s="58"/>
      <c r="AU9" s="58"/>
      <c r="AV9" s="59">
        <f t="shared" si="22"/>
        <v>0</v>
      </c>
      <c r="AW9" s="60" t="str">
        <f t="shared" si="23"/>
        <v/>
      </c>
      <c r="AX9" s="59">
        <f t="shared" si="24"/>
        <v>9460</v>
      </c>
      <c r="AY9" s="59">
        <v>9200</v>
      </c>
      <c r="AZ9" s="59">
        <f t="shared" si="25"/>
        <v>260</v>
      </c>
      <c r="BA9" s="60">
        <f t="shared" si="26"/>
        <v>1.0282608695652173</v>
      </c>
    </row>
    <row r="10" spans="1:53" x14ac:dyDescent="0.3">
      <c r="A10" s="57" t="s">
        <v>89</v>
      </c>
      <c r="B10" s="59">
        <f>62.06</f>
        <v>62.06</v>
      </c>
      <c r="C10" s="58"/>
      <c r="D10" s="59">
        <f t="shared" si="0"/>
        <v>62.06</v>
      </c>
      <c r="E10" s="60" t="str">
        <f t="shared" si="1"/>
        <v/>
      </c>
      <c r="F10" s="59">
        <f>500</f>
        <v>500</v>
      </c>
      <c r="G10" s="58"/>
      <c r="H10" s="59">
        <f t="shared" si="2"/>
        <v>500</v>
      </c>
      <c r="I10" s="60" t="str">
        <f t="shared" si="3"/>
        <v/>
      </c>
      <c r="J10" s="58"/>
      <c r="K10" s="58"/>
      <c r="L10" s="59">
        <f t="shared" si="4"/>
        <v>0</v>
      </c>
      <c r="M10" s="60" t="str">
        <f t="shared" si="5"/>
        <v/>
      </c>
      <c r="N10" s="59">
        <f>2.4</f>
        <v>2.4</v>
      </c>
      <c r="O10" s="58"/>
      <c r="P10" s="59">
        <f t="shared" si="6"/>
        <v>2.4</v>
      </c>
      <c r="Q10" s="60" t="str">
        <f t="shared" si="7"/>
        <v/>
      </c>
      <c r="R10" s="59">
        <f>42.66</f>
        <v>42.66</v>
      </c>
      <c r="S10" s="58"/>
      <c r="T10" s="59">
        <f t="shared" si="8"/>
        <v>42.66</v>
      </c>
      <c r="U10" s="60" t="str">
        <f t="shared" si="9"/>
        <v/>
      </c>
      <c r="V10" s="59">
        <f>2</f>
        <v>2</v>
      </c>
      <c r="W10" s="58"/>
      <c r="X10" s="59">
        <f t="shared" si="10"/>
        <v>2</v>
      </c>
      <c r="Y10" s="60" t="str">
        <f t="shared" si="11"/>
        <v/>
      </c>
      <c r="Z10" s="58"/>
      <c r="AA10" s="58"/>
      <c r="AB10" s="59">
        <f t="shared" si="12"/>
        <v>0</v>
      </c>
      <c r="AC10" s="60" t="str">
        <f t="shared" si="13"/>
        <v/>
      </c>
      <c r="AD10" s="58"/>
      <c r="AE10" s="58"/>
      <c r="AF10" s="59">
        <f t="shared" si="14"/>
        <v>0</v>
      </c>
      <c r="AG10" s="60" t="str">
        <f t="shared" si="15"/>
        <v/>
      </c>
      <c r="AH10" s="58"/>
      <c r="AI10" s="58"/>
      <c r="AJ10" s="59">
        <f t="shared" si="16"/>
        <v>0</v>
      </c>
      <c r="AK10" s="60" t="str">
        <f t="shared" si="17"/>
        <v/>
      </c>
      <c r="AL10" s="58"/>
      <c r="AM10" s="58"/>
      <c r="AN10" s="59">
        <f t="shared" si="18"/>
        <v>0</v>
      </c>
      <c r="AO10" s="60" t="str">
        <f t="shared" si="19"/>
        <v/>
      </c>
      <c r="AP10" s="58"/>
      <c r="AQ10" s="58"/>
      <c r="AR10" s="59">
        <f t="shared" si="20"/>
        <v>0</v>
      </c>
      <c r="AS10" s="60" t="str">
        <f t="shared" si="21"/>
        <v/>
      </c>
      <c r="AT10" s="58"/>
      <c r="AU10" s="58"/>
      <c r="AV10" s="59">
        <f t="shared" si="22"/>
        <v>0</v>
      </c>
      <c r="AW10" s="60" t="str">
        <f t="shared" si="23"/>
        <v/>
      </c>
      <c r="AX10" s="59">
        <f t="shared" si="24"/>
        <v>609.11999999999989</v>
      </c>
      <c r="AY10" s="59">
        <v>3500</v>
      </c>
      <c r="AZ10" s="59">
        <f t="shared" si="25"/>
        <v>-2890.88</v>
      </c>
      <c r="BA10" s="60">
        <f t="shared" si="26"/>
        <v>0.1740342857142857</v>
      </c>
    </row>
    <row r="11" spans="1:53" x14ac:dyDescent="0.3">
      <c r="A11" s="57" t="s">
        <v>90</v>
      </c>
      <c r="B11" s="61">
        <f>((B8)+(B9))+(B10)</f>
        <v>62.06</v>
      </c>
      <c r="C11" s="61">
        <f>((C8)+(C9))+(C10)</f>
        <v>0</v>
      </c>
      <c r="D11" s="61">
        <f t="shared" si="0"/>
        <v>62.06</v>
      </c>
      <c r="E11" s="62" t="str">
        <f t="shared" si="1"/>
        <v/>
      </c>
      <c r="F11" s="61">
        <f>((F8)+(F9))+(F10)</f>
        <v>500</v>
      </c>
      <c r="G11" s="61">
        <f>((G8)+(G9))+(G10)</f>
        <v>0</v>
      </c>
      <c r="H11" s="61">
        <f t="shared" si="2"/>
        <v>500</v>
      </c>
      <c r="I11" s="62" t="str">
        <f t="shared" si="3"/>
        <v/>
      </c>
      <c r="J11" s="61">
        <f>((J8)+(J9))+(J10)</f>
        <v>9460</v>
      </c>
      <c r="K11" s="61">
        <f>((K8)+(K9))+(K10)</f>
        <v>0</v>
      </c>
      <c r="L11" s="61">
        <f t="shared" si="4"/>
        <v>9460</v>
      </c>
      <c r="M11" s="62" t="str">
        <f t="shared" si="5"/>
        <v/>
      </c>
      <c r="N11" s="61">
        <f>((N8)+(N9))+(N10)</f>
        <v>2.4</v>
      </c>
      <c r="O11" s="61">
        <f>((O8)+(O9))+(O10)</f>
        <v>0</v>
      </c>
      <c r="P11" s="61">
        <f t="shared" si="6"/>
        <v>2.4</v>
      </c>
      <c r="Q11" s="62" t="str">
        <f t="shared" si="7"/>
        <v/>
      </c>
      <c r="R11" s="61">
        <f>((R8)+(R9))+(R10)</f>
        <v>42.66</v>
      </c>
      <c r="S11" s="61">
        <f>((S8)+(S9))+(S10)</f>
        <v>0</v>
      </c>
      <c r="T11" s="61">
        <f t="shared" si="8"/>
        <v>42.66</v>
      </c>
      <c r="U11" s="62" t="str">
        <f t="shared" si="9"/>
        <v/>
      </c>
      <c r="V11" s="61">
        <f>((V8)+(V9))+(V10)</f>
        <v>2</v>
      </c>
      <c r="W11" s="61">
        <f>((W8)+(W9))+(W10)</f>
        <v>0</v>
      </c>
      <c r="X11" s="61">
        <f t="shared" si="10"/>
        <v>2</v>
      </c>
      <c r="Y11" s="62" t="str">
        <f t="shared" si="11"/>
        <v/>
      </c>
      <c r="Z11" s="61">
        <f>((Z8)+(Z9))+(Z10)</f>
        <v>0</v>
      </c>
      <c r="AA11" s="61">
        <f>((AA8)+(AA9))+(AA10)</f>
        <v>0</v>
      </c>
      <c r="AB11" s="61">
        <f t="shared" si="12"/>
        <v>0</v>
      </c>
      <c r="AC11" s="62" t="str">
        <f t="shared" si="13"/>
        <v/>
      </c>
      <c r="AD11" s="61">
        <f>((AD8)+(AD9))+(AD10)</f>
        <v>0</v>
      </c>
      <c r="AE11" s="61">
        <f>((AE8)+(AE9))+(AE10)</f>
        <v>0</v>
      </c>
      <c r="AF11" s="61">
        <f t="shared" si="14"/>
        <v>0</v>
      </c>
      <c r="AG11" s="62" t="str">
        <f t="shared" si="15"/>
        <v/>
      </c>
      <c r="AH11" s="61">
        <f>((AH8)+(AH9))+(AH10)</f>
        <v>0</v>
      </c>
      <c r="AI11" s="61">
        <f>((AI8)+(AI9))+(AI10)</f>
        <v>0</v>
      </c>
      <c r="AJ11" s="61">
        <f t="shared" si="16"/>
        <v>0</v>
      </c>
      <c r="AK11" s="62" t="str">
        <f t="shared" si="17"/>
        <v/>
      </c>
      <c r="AL11" s="61">
        <f>((AL8)+(AL9))+(AL10)</f>
        <v>0</v>
      </c>
      <c r="AM11" s="61">
        <f>((AM8)+(AM9))+(AM10)</f>
        <v>0</v>
      </c>
      <c r="AN11" s="61">
        <f t="shared" si="18"/>
        <v>0</v>
      </c>
      <c r="AO11" s="62" t="str">
        <f t="shared" si="19"/>
        <v/>
      </c>
      <c r="AP11" s="61">
        <f>((AP8)+(AP9))+(AP10)</f>
        <v>0</v>
      </c>
      <c r="AQ11" s="61">
        <f>((AQ8)+(AQ9))+(AQ10)</f>
        <v>0</v>
      </c>
      <c r="AR11" s="61">
        <f t="shared" si="20"/>
        <v>0</v>
      </c>
      <c r="AS11" s="62" t="str">
        <f t="shared" si="21"/>
        <v/>
      </c>
      <c r="AT11" s="61">
        <f>((AT8)+(AT9))+(AT10)</f>
        <v>0</v>
      </c>
      <c r="AU11" s="61">
        <f>((AU8)+(AU9))+(AU10)</f>
        <v>0</v>
      </c>
      <c r="AV11" s="61">
        <f t="shared" si="22"/>
        <v>0</v>
      </c>
      <c r="AW11" s="62" t="str">
        <f t="shared" si="23"/>
        <v/>
      </c>
      <c r="AX11" s="61">
        <f t="shared" si="24"/>
        <v>10069.119999999999</v>
      </c>
      <c r="AY11" s="61">
        <f>AY9+AY10</f>
        <v>12700</v>
      </c>
      <c r="AZ11" s="61">
        <f t="shared" si="25"/>
        <v>-2630.880000000001</v>
      </c>
      <c r="BA11" s="62">
        <f t="shared" si="26"/>
        <v>0.79284409448818893</v>
      </c>
    </row>
    <row r="12" spans="1:53" x14ac:dyDescent="0.3">
      <c r="A12" s="57" t="s">
        <v>91</v>
      </c>
      <c r="B12" s="59">
        <f>257.54</f>
        <v>257.54000000000002</v>
      </c>
      <c r="C12" s="58"/>
      <c r="D12" s="59">
        <f t="shared" si="0"/>
        <v>257.54000000000002</v>
      </c>
      <c r="E12" s="60" t="str">
        <f t="shared" si="1"/>
        <v/>
      </c>
      <c r="F12" s="59">
        <f>149.9</f>
        <v>149.9</v>
      </c>
      <c r="G12" s="58"/>
      <c r="H12" s="59">
        <f t="shared" si="2"/>
        <v>149.9</v>
      </c>
      <c r="I12" s="60" t="str">
        <f t="shared" si="3"/>
        <v/>
      </c>
      <c r="J12" s="58"/>
      <c r="K12" s="58"/>
      <c r="L12" s="59">
        <f t="shared" si="4"/>
        <v>0</v>
      </c>
      <c r="M12" s="60" t="str">
        <f t="shared" si="5"/>
        <v/>
      </c>
      <c r="N12" s="59">
        <f>563.4</f>
        <v>563.4</v>
      </c>
      <c r="O12" s="58"/>
      <c r="P12" s="59">
        <f t="shared" si="6"/>
        <v>563.4</v>
      </c>
      <c r="Q12" s="60" t="str">
        <f t="shared" si="7"/>
        <v/>
      </c>
      <c r="R12" s="59">
        <f>263</f>
        <v>263</v>
      </c>
      <c r="S12" s="58"/>
      <c r="T12" s="59">
        <f t="shared" si="8"/>
        <v>263</v>
      </c>
      <c r="U12" s="60" t="str">
        <f t="shared" si="9"/>
        <v/>
      </c>
      <c r="V12" s="59">
        <f>391.8</f>
        <v>391.8</v>
      </c>
      <c r="W12" s="58"/>
      <c r="X12" s="59">
        <f t="shared" si="10"/>
        <v>391.8</v>
      </c>
      <c r="Y12" s="60" t="str">
        <f t="shared" si="11"/>
        <v/>
      </c>
      <c r="Z12" s="59">
        <f>85.3</f>
        <v>85.3</v>
      </c>
      <c r="AA12" s="58"/>
      <c r="AB12" s="59">
        <f t="shared" si="12"/>
        <v>85.3</v>
      </c>
      <c r="AC12" s="60" t="str">
        <f t="shared" si="13"/>
        <v/>
      </c>
      <c r="AD12" s="58"/>
      <c r="AE12" s="58"/>
      <c r="AF12" s="59">
        <f t="shared" si="14"/>
        <v>0</v>
      </c>
      <c r="AG12" s="60" t="str">
        <f t="shared" si="15"/>
        <v/>
      </c>
      <c r="AH12" s="59">
        <f>412.12</f>
        <v>412.12</v>
      </c>
      <c r="AI12" s="58"/>
      <c r="AJ12" s="59">
        <f t="shared" si="16"/>
        <v>412.12</v>
      </c>
      <c r="AK12" s="60" t="str">
        <f t="shared" si="17"/>
        <v/>
      </c>
      <c r="AL12" s="59">
        <f>298</f>
        <v>298</v>
      </c>
      <c r="AM12" s="58"/>
      <c r="AN12" s="59">
        <f t="shared" si="18"/>
        <v>298</v>
      </c>
      <c r="AO12" s="60" t="str">
        <f t="shared" si="19"/>
        <v/>
      </c>
      <c r="AP12" s="59">
        <f>408.32</f>
        <v>408.32</v>
      </c>
      <c r="AQ12" s="58"/>
      <c r="AR12" s="59">
        <f t="shared" si="20"/>
        <v>408.32</v>
      </c>
      <c r="AS12" s="60" t="str">
        <f t="shared" si="21"/>
        <v/>
      </c>
      <c r="AT12" s="59">
        <f>194.1</f>
        <v>194.1</v>
      </c>
      <c r="AU12" s="58"/>
      <c r="AV12" s="59">
        <f t="shared" si="22"/>
        <v>194.1</v>
      </c>
      <c r="AW12" s="60" t="str">
        <f t="shared" si="23"/>
        <v/>
      </c>
      <c r="AX12" s="59">
        <f t="shared" si="24"/>
        <v>3023.48</v>
      </c>
      <c r="AY12" s="59">
        <v>1700</v>
      </c>
      <c r="AZ12" s="59">
        <f t="shared" si="25"/>
        <v>1323.48</v>
      </c>
      <c r="BA12" s="60">
        <f t="shared" si="26"/>
        <v>1.7785176470588235</v>
      </c>
    </row>
    <row r="13" spans="1:53" x14ac:dyDescent="0.3">
      <c r="A13" s="57" t="s">
        <v>92</v>
      </c>
      <c r="B13" s="59">
        <f>26.12</f>
        <v>26.12</v>
      </c>
      <c r="C13" s="58"/>
      <c r="D13" s="59">
        <f t="shared" si="0"/>
        <v>26.12</v>
      </c>
      <c r="E13" s="60" t="str">
        <f t="shared" si="1"/>
        <v/>
      </c>
      <c r="F13" s="59">
        <f>260.17</f>
        <v>260.17</v>
      </c>
      <c r="G13" s="58"/>
      <c r="H13" s="59">
        <f t="shared" si="2"/>
        <v>260.17</v>
      </c>
      <c r="I13" s="60" t="str">
        <f t="shared" si="3"/>
        <v/>
      </c>
      <c r="J13" s="58"/>
      <c r="K13" s="58"/>
      <c r="L13" s="59">
        <f t="shared" si="4"/>
        <v>0</v>
      </c>
      <c r="M13" s="60" t="str">
        <f t="shared" si="5"/>
        <v/>
      </c>
      <c r="N13" s="59">
        <f>17.96</f>
        <v>17.96</v>
      </c>
      <c r="O13" s="58"/>
      <c r="P13" s="59">
        <f t="shared" si="6"/>
        <v>17.96</v>
      </c>
      <c r="Q13" s="60" t="str">
        <f t="shared" si="7"/>
        <v/>
      </c>
      <c r="R13" s="59">
        <f>12.92</f>
        <v>12.92</v>
      </c>
      <c r="S13" s="58"/>
      <c r="T13" s="59">
        <f t="shared" si="8"/>
        <v>12.92</v>
      </c>
      <c r="U13" s="60" t="str">
        <f t="shared" si="9"/>
        <v/>
      </c>
      <c r="V13" s="59">
        <f>49.48</f>
        <v>49.48</v>
      </c>
      <c r="W13" s="58"/>
      <c r="X13" s="59">
        <f t="shared" si="10"/>
        <v>49.48</v>
      </c>
      <c r="Y13" s="60" t="str">
        <f t="shared" si="11"/>
        <v/>
      </c>
      <c r="Z13" s="59">
        <f>57.47</f>
        <v>57.47</v>
      </c>
      <c r="AA13" s="58"/>
      <c r="AB13" s="59">
        <f t="shared" si="12"/>
        <v>57.47</v>
      </c>
      <c r="AC13" s="60" t="str">
        <f t="shared" si="13"/>
        <v/>
      </c>
      <c r="AD13" s="59">
        <f>83.52</f>
        <v>83.52</v>
      </c>
      <c r="AE13" s="58"/>
      <c r="AF13" s="59">
        <f t="shared" si="14"/>
        <v>83.52</v>
      </c>
      <c r="AG13" s="60" t="str">
        <f t="shared" si="15"/>
        <v/>
      </c>
      <c r="AH13" s="59">
        <f>963.01</f>
        <v>963.01</v>
      </c>
      <c r="AI13" s="58"/>
      <c r="AJ13" s="59">
        <f t="shared" si="16"/>
        <v>963.01</v>
      </c>
      <c r="AK13" s="60" t="str">
        <f t="shared" si="17"/>
        <v/>
      </c>
      <c r="AL13" s="59">
        <f>187.4</f>
        <v>187.4</v>
      </c>
      <c r="AM13" s="58"/>
      <c r="AN13" s="59">
        <f t="shared" si="18"/>
        <v>187.4</v>
      </c>
      <c r="AO13" s="60" t="str">
        <f t="shared" si="19"/>
        <v/>
      </c>
      <c r="AP13" s="59">
        <f>76.58</f>
        <v>76.58</v>
      </c>
      <c r="AQ13" s="58"/>
      <c r="AR13" s="59">
        <f t="shared" si="20"/>
        <v>76.58</v>
      </c>
      <c r="AS13" s="60" t="str">
        <f t="shared" si="21"/>
        <v/>
      </c>
      <c r="AT13" s="59">
        <f>67.94</f>
        <v>67.94</v>
      </c>
      <c r="AU13" s="58"/>
      <c r="AV13" s="59">
        <f t="shared" si="22"/>
        <v>67.94</v>
      </c>
      <c r="AW13" s="60" t="str">
        <f t="shared" si="23"/>
        <v/>
      </c>
      <c r="AX13" s="59">
        <f t="shared" si="24"/>
        <v>1802.5700000000002</v>
      </c>
      <c r="AY13" s="59">
        <v>1100</v>
      </c>
      <c r="AZ13" s="59">
        <f t="shared" si="25"/>
        <v>702.57000000000016</v>
      </c>
      <c r="BA13" s="60">
        <f t="shared" si="26"/>
        <v>1.6387</v>
      </c>
    </row>
    <row r="14" spans="1:53" x14ac:dyDescent="0.3">
      <c r="A14" s="57" t="s">
        <v>93</v>
      </c>
      <c r="B14" s="59">
        <f>287.64</f>
        <v>287.64</v>
      </c>
      <c r="C14" s="58"/>
      <c r="D14" s="59">
        <f t="shared" si="0"/>
        <v>287.64</v>
      </c>
      <c r="E14" s="60" t="str">
        <f t="shared" si="1"/>
        <v/>
      </c>
      <c r="F14" s="59">
        <f>335.63</f>
        <v>335.63</v>
      </c>
      <c r="G14" s="58"/>
      <c r="H14" s="59">
        <f t="shared" si="2"/>
        <v>335.63</v>
      </c>
      <c r="I14" s="60" t="str">
        <f t="shared" si="3"/>
        <v/>
      </c>
      <c r="J14" s="59">
        <f>372.26</f>
        <v>372.26</v>
      </c>
      <c r="K14" s="58"/>
      <c r="L14" s="59">
        <f t="shared" si="4"/>
        <v>372.26</v>
      </c>
      <c r="M14" s="60" t="str">
        <f t="shared" si="5"/>
        <v/>
      </c>
      <c r="N14" s="59">
        <f>4036.33</f>
        <v>4036.33</v>
      </c>
      <c r="O14" s="58"/>
      <c r="P14" s="59">
        <f t="shared" si="6"/>
        <v>4036.33</v>
      </c>
      <c r="Q14" s="60" t="str">
        <f t="shared" si="7"/>
        <v/>
      </c>
      <c r="R14" s="59">
        <f>3577.82</f>
        <v>3577.82</v>
      </c>
      <c r="S14" s="58"/>
      <c r="T14" s="59">
        <f t="shared" si="8"/>
        <v>3577.82</v>
      </c>
      <c r="U14" s="60" t="str">
        <f t="shared" si="9"/>
        <v/>
      </c>
      <c r="V14" s="59">
        <f>2467.56</f>
        <v>2467.56</v>
      </c>
      <c r="W14" s="58"/>
      <c r="X14" s="59">
        <f t="shared" si="10"/>
        <v>2467.56</v>
      </c>
      <c r="Y14" s="60" t="str">
        <f t="shared" si="11"/>
        <v/>
      </c>
      <c r="Z14" s="59">
        <f>4836.83</f>
        <v>4836.83</v>
      </c>
      <c r="AA14" s="58"/>
      <c r="AB14" s="59">
        <f t="shared" si="12"/>
        <v>4836.83</v>
      </c>
      <c r="AC14" s="60" t="str">
        <f t="shared" si="13"/>
        <v/>
      </c>
      <c r="AD14" s="59">
        <f>5474.05</f>
        <v>5474.05</v>
      </c>
      <c r="AE14" s="58"/>
      <c r="AF14" s="59">
        <f t="shared" si="14"/>
        <v>5474.05</v>
      </c>
      <c r="AG14" s="60" t="str">
        <f t="shared" si="15"/>
        <v/>
      </c>
      <c r="AH14" s="59">
        <f>6502.27</f>
        <v>6502.27</v>
      </c>
      <c r="AI14" s="58"/>
      <c r="AJ14" s="59">
        <f t="shared" si="16"/>
        <v>6502.27</v>
      </c>
      <c r="AK14" s="60" t="str">
        <f t="shared" si="17"/>
        <v/>
      </c>
      <c r="AL14" s="59">
        <f>5292.03</f>
        <v>5292.03</v>
      </c>
      <c r="AM14" s="58"/>
      <c r="AN14" s="59">
        <f t="shared" si="18"/>
        <v>5292.03</v>
      </c>
      <c r="AO14" s="60" t="str">
        <f t="shared" si="19"/>
        <v/>
      </c>
      <c r="AP14" s="59">
        <f>4816.85</f>
        <v>4816.8500000000004</v>
      </c>
      <c r="AQ14" s="58"/>
      <c r="AR14" s="59">
        <f t="shared" si="20"/>
        <v>4816.8500000000004</v>
      </c>
      <c r="AS14" s="60" t="str">
        <f t="shared" si="21"/>
        <v/>
      </c>
      <c r="AT14" s="59">
        <f>4454.94</f>
        <v>4454.9399999999996</v>
      </c>
      <c r="AU14" s="58"/>
      <c r="AV14" s="59">
        <f t="shared" si="22"/>
        <v>4454.9399999999996</v>
      </c>
      <c r="AW14" s="60" t="str">
        <f t="shared" si="23"/>
        <v/>
      </c>
      <c r="AX14" s="59">
        <f t="shared" si="24"/>
        <v>42454.21</v>
      </c>
      <c r="AY14" s="59">
        <v>2500</v>
      </c>
      <c r="AZ14" s="59">
        <f t="shared" si="25"/>
        <v>39954.21</v>
      </c>
      <c r="BA14" s="60">
        <f t="shared" si="26"/>
        <v>16.981684000000001</v>
      </c>
    </row>
    <row r="15" spans="1:53" x14ac:dyDescent="0.3">
      <c r="A15" s="57" t="s">
        <v>94</v>
      </c>
      <c r="B15" s="59">
        <f>23485.69</f>
        <v>23485.69</v>
      </c>
      <c r="C15" s="58"/>
      <c r="D15" s="59">
        <f t="shared" si="0"/>
        <v>23485.69</v>
      </c>
      <c r="E15" s="60" t="str">
        <f t="shared" si="1"/>
        <v/>
      </c>
      <c r="F15" s="59">
        <f>336669.33</f>
        <v>336669.33</v>
      </c>
      <c r="G15" s="58"/>
      <c r="H15" s="59">
        <f t="shared" si="2"/>
        <v>336669.33</v>
      </c>
      <c r="I15" s="60" t="str">
        <f t="shared" si="3"/>
        <v/>
      </c>
      <c r="J15" s="59">
        <f>51629.76</f>
        <v>51629.760000000002</v>
      </c>
      <c r="K15" s="58"/>
      <c r="L15" s="59">
        <f t="shared" si="4"/>
        <v>51629.760000000002</v>
      </c>
      <c r="M15" s="60" t="str">
        <f t="shared" si="5"/>
        <v/>
      </c>
      <c r="N15" s="59">
        <f>182766.38</f>
        <v>182766.38</v>
      </c>
      <c r="O15" s="58"/>
      <c r="P15" s="59">
        <f t="shared" si="6"/>
        <v>182766.38</v>
      </c>
      <c r="Q15" s="60" t="str">
        <f t="shared" si="7"/>
        <v/>
      </c>
      <c r="R15" s="59">
        <f>43509.17</f>
        <v>43509.17</v>
      </c>
      <c r="S15" s="58"/>
      <c r="T15" s="59">
        <f t="shared" si="8"/>
        <v>43509.17</v>
      </c>
      <c r="U15" s="60" t="str">
        <f t="shared" si="9"/>
        <v/>
      </c>
      <c r="V15" s="59">
        <f>269756.15</f>
        <v>269756.15000000002</v>
      </c>
      <c r="W15" s="58"/>
      <c r="X15" s="59">
        <f t="shared" si="10"/>
        <v>269756.15000000002</v>
      </c>
      <c r="Y15" s="60" t="str">
        <f t="shared" si="11"/>
        <v/>
      </c>
      <c r="Z15" s="59">
        <f>9425.94</f>
        <v>9425.94</v>
      </c>
      <c r="AA15" s="58"/>
      <c r="AB15" s="59">
        <f t="shared" si="12"/>
        <v>9425.94</v>
      </c>
      <c r="AC15" s="60" t="str">
        <f t="shared" si="13"/>
        <v/>
      </c>
      <c r="AD15" s="59">
        <f>5020.8</f>
        <v>5020.8</v>
      </c>
      <c r="AE15" s="58"/>
      <c r="AF15" s="59">
        <f t="shared" si="14"/>
        <v>5020.8</v>
      </c>
      <c r="AG15" s="60" t="str">
        <f t="shared" si="15"/>
        <v/>
      </c>
      <c r="AH15" s="59">
        <f>949.5</f>
        <v>949.5</v>
      </c>
      <c r="AI15" s="58"/>
      <c r="AJ15" s="59">
        <f t="shared" si="16"/>
        <v>949.5</v>
      </c>
      <c r="AK15" s="60" t="str">
        <f t="shared" si="17"/>
        <v/>
      </c>
      <c r="AL15" s="59">
        <f>1874.51</f>
        <v>1874.51</v>
      </c>
      <c r="AM15" s="58"/>
      <c r="AN15" s="59">
        <f t="shared" si="18"/>
        <v>1874.51</v>
      </c>
      <c r="AO15" s="60" t="str">
        <f t="shared" si="19"/>
        <v/>
      </c>
      <c r="AP15" s="59">
        <f>6104.64</f>
        <v>6104.64</v>
      </c>
      <c r="AQ15" s="58"/>
      <c r="AR15" s="59">
        <f t="shared" si="20"/>
        <v>6104.64</v>
      </c>
      <c r="AS15" s="60" t="str">
        <f t="shared" si="21"/>
        <v/>
      </c>
      <c r="AT15" s="58"/>
      <c r="AU15" s="58"/>
      <c r="AV15" s="59">
        <f t="shared" si="22"/>
        <v>0</v>
      </c>
      <c r="AW15" s="60" t="str">
        <f t="shared" si="23"/>
        <v/>
      </c>
      <c r="AX15" s="59">
        <f t="shared" si="24"/>
        <v>931191.87000000011</v>
      </c>
      <c r="AY15" s="59">
        <v>934395</v>
      </c>
      <c r="AZ15" s="59">
        <f t="shared" si="25"/>
        <v>-3203.1299999998882</v>
      </c>
      <c r="BA15" s="60">
        <f t="shared" si="26"/>
        <v>0.9965719743791438</v>
      </c>
    </row>
    <row r="16" spans="1:53" x14ac:dyDescent="0.3">
      <c r="A16" s="57" t="s">
        <v>95</v>
      </c>
      <c r="B16" s="59">
        <f>9414.07</f>
        <v>9414.07</v>
      </c>
      <c r="C16" s="58"/>
      <c r="D16" s="59">
        <f t="shared" si="0"/>
        <v>9414.07</v>
      </c>
      <c r="E16" s="60" t="str">
        <f t="shared" si="1"/>
        <v/>
      </c>
      <c r="F16" s="59">
        <f>4623.43</f>
        <v>4623.43</v>
      </c>
      <c r="G16" s="58"/>
      <c r="H16" s="59">
        <f t="shared" si="2"/>
        <v>4623.43</v>
      </c>
      <c r="I16" s="60" t="str">
        <f t="shared" si="3"/>
        <v/>
      </c>
      <c r="J16" s="59">
        <f>5252.02</f>
        <v>5252.02</v>
      </c>
      <c r="K16" s="58"/>
      <c r="L16" s="59">
        <f t="shared" si="4"/>
        <v>5252.02</v>
      </c>
      <c r="M16" s="60" t="str">
        <f t="shared" si="5"/>
        <v/>
      </c>
      <c r="N16" s="59">
        <f>4789.87</f>
        <v>4789.87</v>
      </c>
      <c r="O16" s="58"/>
      <c r="P16" s="59">
        <f t="shared" si="6"/>
        <v>4789.87</v>
      </c>
      <c r="Q16" s="60" t="str">
        <f t="shared" si="7"/>
        <v/>
      </c>
      <c r="R16" s="59">
        <f>4710.13</f>
        <v>4710.13</v>
      </c>
      <c r="S16" s="58"/>
      <c r="T16" s="59">
        <f t="shared" si="8"/>
        <v>4710.13</v>
      </c>
      <c r="U16" s="60" t="str">
        <f t="shared" si="9"/>
        <v/>
      </c>
      <c r="V16" s="59">
        <f>4827.03</f>
        <v>4827.03</v>
      </c>
      <c r="W16" s="58"/>
      <c r="X16" s="59">
        <f t="shared" si="10"/>
        <v>4827.03</v>
      </c>
      <c r="Y16" s="60" t="str">
        <f t="shared" si="11"/>
        <v/>
      </c>
      <c r="Z16" s="59">
        <f>5223.25</f>
        <v>5223.25</v>
      </c>
      <c r="AA16" s="58"/>
      <c r="AB16" s="59">
        <f t="shared" si="12"/>
        <v>5223.25</v>
      </c>
      <c r="AC16" s="60" t="str">
        <f t="shared" si="13"/>
        <v/>
      </c>
      <c r="AD16" s="59">
        <f>4957.48</f>
        <v>4957.4799999999996</v>
      </c>
      <c r="AE16" s="58"/>
      <c r="AF16" s="59">
        <f t="shared" si="14"/>
        <v>4957.4799999999996</v>
      </c>
      <c r="AG16" s="60" t="str">
        <f t="shared" si="15"/>
        <v/>
      </c>
      <c r="AH16" s="59">
        <f>5171.4</f>
        <v>5171.3999999999996</v>
      </c>
      <c r="AI16" s="58"/>
      <c r="AJ16" s="59">
        <f t="shared" si="16"/>
        <v>5171.3999999999996</v>
      </c>
      <c r="AK16" s="60" t="str">
        <f t="shared" si="17"/>
        <v/>
      </c>
      <c r="AL16" s="59">
        <f>5297.21</f>
        <v>5297.21</v>
      </c>
      <c r="AM16" s="58"/>
      <c r="AN16" s="59">
        <f t="shared" si="18"/>
        <v>5297.21</v>
      </c>
      <c r="AO16" s="60" t="str">
        <f t="shared" si="19"/>
        <v/>
      </c>
      <c r="AP16" s="59">
        <f>4171.57</f>
        <v>4171.57</v>
      </c>
      <c r="AQ16" s="58"/>
      <c r="AR16" s="59">
        <f t="shared" si="20"/>
        <v>4171.57</v>
      </c>
      <c r="AS16" s="60" t="str">
        <f t="shared" si="21"/>
        <v/>
      </c>
      <c r="AT16" s="59">
        <f>4789.96</f>
        <v>4789.96</v>
      </c>
      <c r="AU16" s="58"/>
      <c r="AV16" s="59">
        <f t="shared" si="22"/>
        <v>4789.96</v>
      </c>
      <c r="AW16" s="60" t="str">
        <f t="shared" si="23"/>
        <v/>
      </c>
      <c r="AX16" s="59">
        <f t="shared" si="24"/>
        <v>63227.42</v>
      </c>
      <c r="AY16" s="59">
        <v>45000</v>
      </c>
      <c r="AZ16" s="59">
        <f t="shared" si="25"/>
        <v>18227.419999999998</v>
      </c>
      <c r="BA16" s="60">
        <f t="shared" si="26"/>
        <v>1.4050537777777778</v>
      </c>
    </row>
    <row r="17" spans="1:53" x14ac:dyDescent="0.3">
      <c r="A17" s="57" t="s">
        <v>96</v>
      </c>
      <c r="B17" s="61">
        <f>(((((B11)+(B12))+(B13))+(B14))+(B15))+(B16)</f>
        <v>33533.119999999995</v>
      </c>
      <c r="C17" s="61">
        <f>(((((C11)+(C12))+(C13))+(C14))+(C15))+(C16)</f>
        <v>0</v>
      </c>
      <c r="D17" s="61">
        <f t="shared" si="0"/>
        <v>33533.119999999995</v>
      </c>
      <c r="E17" s="62" t="str">
        <f t="shared" si="1"/>
        <v/>
      </c>
      <c r="F17" s="61">
        <f>(((((F11)+(F12))+(F13))+(F14))+(F15))+(F16)</f>
        <v>342538.46</v>
      </c>
      <c r="G17" s="61">
        <f>(((((G11)+(G12))+(G13))+(G14))+(G15))+(G16)</f>
        <v>0</v>
      </c>
      <c r="H17" s="61">
        <f t="shared" si="2"/>
        <v>342538.46</v>
      </c>
      <c r="I17" s="62" t="str">
        <f t="shared" si="3"/>
        <v/>
      </c>
      <c r="J17" s="61">
        <f>(((((J11)+(J12))+(J13))+(J14))+(J15))+(J16)</f>
        <v>66714.040000000008</v>
      </c>
      <c r="K17" s="61">
        <f>(((((K11)+(K12))+(K13))+(K14))+(K15))+(K16)</f>
        <v>0</v>
      </c>
      <c r="L17" s="61">
        <f t="shared" si="4"/>
        <v>66714.040000000008</v>
      </c>
      <c r="M17" s="62" t="str">
        <f t="shared" si="5"/>
        <v/>
      </c>
      <c r="N17" s="61">
        <f>(((((N11)+(N12))+(N13))+(N14))+(N15))+(N16)</f>
        <v>192176.34</v>
      </c>
      <c r="O17" s="61">
        <f>(((((O11)+(O12))+(O13))+(O14))+(O15))+(O16)</f>
        <v>0</v>
      </c>
      <c r="P17" s="61">
        <f t="shared" si="6"/>
        <v>192176.34</v>
      </c>
      <c r="Q17" s="62" t="str">
        <f t="shared" si="7"/>
        <v/>
      </c>
      <c r="R17" s="61">
        <f>(((((R11)+(R12))+(R13))+(R14))+(R15))+(R16)</f>
        <v>52115.7</v>
      </c>
      <c r="S17" s="61">
        <f>(((((S11)+(S12))+(S13))+(S14))+(S15))+(S16)</f>
        <v>0</v>
      </c>
      <c r="T17" s="61">
        <f t="shared" si="8"/>
        <v>52115.7</v>
      </c>
      <c r="U17" s="62" t="str">
        <f t="shared" si="9"/>
        <v/>
      </c>
      <c r="V17" s="61">
        <f>(((((V11)+(V12))+(V13))+(V14))+(V15))+(V16)</f>
        <v>277494.02000000008</v>
      </c>
      <c r="W17" s="61">
        <f>(((((W11)+(W12))+(W13))+(W14))+(W15))+(W16)</f>
        <v>0</v>
      </c>
      <c r="X17" s="61">
        <f t="shared" si="10"/>
        <v>277494.02000000008</v>
      </c>
      <c r="Y17" s="62" t="str">
        <f t="shared" si="11"/>
        <v/>
      </c>
      <c r="Z17" s="61">
        <f>(((((Z11)+(Z12))+(Z13))+(Z14))+(Z15))+(Z16)</f>
        <v>19628.79</v>
      </c>
      <c r="AA17" s="61">
        <f>(((((AA11)+(AA12))+(AA13))+(AA14))+(AA15))+(AA16)</f>
        <v>0</v>
      </c>
      <c r="AB17" s="61">
        <f t="shared" si="12"/>
        <v>19628.79</v>
      </c>
      <c r="AC17" s="62" t="str">
        <f t="shared" si="13"/>
        <v/>
      </c>
      <c r="AD17" s="61">
        <f>(((((AD11)+(AD12))+(AD13))+(AD14))+(AD15))+(AD16)</f>
        <v>15535.85</v>
      </c>
      <c r="AE17" s="61">
        <f>(((((AE11)+(AE12))+(AE13))+(AE14))+(AE15))+(AE16)</f>
        <v>0</v>
      </c>
      <c r="AF17" s="61">
        <f t="shared" si="14"/>
        <v>15535.85</v>
      </c>
      <c r="AG17" s="62" t="str">
        <f t="shared" si="15"/>
        <v/>
      </c>
      <c r="AH17" s="61">
        <f>(((((AH11)+(AH12))+(AH13))+(AH14))+(AH15))+(AH16)</f>
        <v>13998.300000000001</v>
      </c>
      <c r="AI17" s="61">
        <f>(((((AI11)+(AI12))+(AI13))+(AI14))+(AI15))+(AI16)</f>
        <v>0</v>
      </c>
      <c r="AJ17" s="61">
        <f t="shared" si="16"/>
        <v>13998.300000000001</v>
      </c>
      <c r="AK17" s="62" t="str">
        <f t="shared" si="17"/>
        <v/>
      </c>
      <c r="AL17" s="61">
        <f>(((((AL11)+(AL12))+(AL13))+(AL14))+(AL15))+(AL16)</f>
        <v>12949.15</v>
      </c>
      <c r="AM17" s="61">
        <f>(((((AM11)+(AM12))+(AM13))+(AM14))+(AM15))+(AM16)</f>
        <v>0</v>
      </c>
      <c r="AN17" s="61">
        <f t="shared" si="18"/>
        <v>12949.15</v>
      </c>
      <c r="AO17" s="62" t="str">
        <f t="shared" si="19"/>
        <v/>
      </c>
      <c r="AP17" s="61">
        <f>(((((AP11)+(AP12))+(AP13))+(AP14))+(AP15))+(AP16)</f>
        <v>15577.96</v>
      </c>
      <c r="AQ17" s="61">
        <f>(((((AQ11)+(AQ12))+(AQ13))+(AQ14))+(AQ15))+(AQ16)</f>
        <v>0</v>
      </c>
      <c r="AR17" s="61">
        <f t="shared" si="20"/>
        <v>15577.96</v>
      </c>
      <c r="AS17" s="62" t="str">
        <f t="shared" si="21"/>
        <v/>
      </c>
      <c r="AT17" s="61">
        <f>(((((AT11)+(AT12))+(AT13))+(AT14))+(AT15))+(AT16)</f>
        <v>9506.9399999999987</v>
      </c>
      <c r="AU17" s="61">
        <f>(((((AU11)+(AU12))+(AU13))+(AU14))+(AU15))+(AU16)</f>
        <v>0</v>
      </c>
      <c r="AV17" s="61">
        <f t="shared" si="22"/>
        <v>9506.9399999999987</v>
      </c>
      <c r="AW17" s="62" t="str">
        <f t="shared" si="23"/>
        <v/>
      </c>
      <c r="AX17" s="61">
        <f t="shared" si="24"/>
        <v>1051768.67</v>
      </c>
      <c r="AY17" s="61">
        <f>AY11+AY12+AY13+AY14+AY15+AY16</f>
        <v>997395</v>
      </c>
      <c r="AZ17" s="61">
        <f t="shared" si="25"/>
        <v>54373.669999999925</v>
      </c>
      <c r="BA17" s="62">
        <f t="shared" si="26"/>
        <v>1.0545156833551401</v>
      </c>
    </row>
    <row r="18" spans="1:53" x14ac:dyDescent="0.3">
      <c r="A18" s="57" t="s">
        <v>97</v>
      </c>
      <c r="B18" s="61">
        <f>(B17)-(0)</f>
        <v>33533.119999999995</v>
      </c>
      <c r="C18" s="61">
        <f>(C17)-(0)</f>
        <v>0</v>
      </c>
      <c r="D18" s="61">
        <f t="shared" si="0"/>
        <v>33533.119999999995</v>
      </c>
      <c r="E18" s="62" t="str">
        <f t="shared" si="1"/>
        <v/>
      </c>
      <c r="F18" s="61">
        <f>(F17)-(0)</f>
        <v>342538.46</v>
      </c>
      <c r="G18" s="61">
        <f>(G17)-(0)</f>
        <v>0</v>
      </c>
      <c r="H18" s="61">
        <f t="shared" si="2"/>
        <v>342538.46</v>
      </c>
      <c r="I18" s="62" t="str">
        <f t="shared" si="3"/>
        <v/>
      </c>
      <c r="J18" s="61">
        <f>(J17)-(0)</f>
        <v>66714.040000000008</v>
      </c>
      <c r="K18" s="61">
        <f>(K17)-(0)</f>
        <v>0</v>
      </c>
      <c r="L18" s="61">
        <f t="shared" si="4"/>
        <v>66714.040000000008</v>
      </c>
      <c r="M18" s="62" t="str">
        <f t="shared" si="5"/>
        <v/>
      </c>
      <c r="N18" s="61">
        <f>(N17)-(0)</f>
        <v>192176.34</v>
      </c>
      <c r="O18" s="61">
        <f>(O17)-(0)</f>
        <v>0</v>
      </c>
      <c r="P18" s="61">
        <f t="shared" si="6"/>
        <v>192176.34</v>
      </c>
      <c r="Q18" s="62" t="str">
        <f t="shared" si="7"/>
        <v/>
      </c>
      <c r="R18" s="61">
        <f>(R17)-(0)</f>
        <v>52115.7</v>
      </c>
      <c r="S18" s="61">
        <f>(S17)-(0)</f>
        <v>0</v>
      </c>
      <c r="T18" s="61">
        <f t="shared" si="8"/>
        <v>52115.7</v>
      </c>
      <c r="U18" s="62" t="str">
        <f t="shared" si="9"/>
        <v/>
      </c>
      <c r="V18" s="61">
        <f>(V17)-(0)</f>
        <v>277494.02000000008</v>
      </c>
      <c r="W18" s="61">
        <f>(W17)-(0)</f>
        <v>0</v>
      </c>
      <c r="X18" s="61">
        <f t="shared" si="10"/>
        <v>277494.02000000008</v>
      </c>
      <c r="Y18" s="62" t="str">
        <f t="shared" si="11"/>
        <v/>
      </c>
      <c r="Z18" s="61">
        <f>(Z17)-(0)</f>
        <v>19628.79</v>
      </c>
      <c r="AA18" s="61">
        <f>(AA17)-(0)</f>
        <v>0</v>
      </c>
      <c r="AB18" s="61">
        <f t="shared" si="12"/>
        <v>19628.79</v>
      </c>
      <c r="AC18" s="62" t="str">
        <f t="shared" si="13"/>
        <v/>
      </c>
      <c r="AD18" s="61">
        <f>(AD17)-(0)</f>
        <v>15535.85</v>
      </c>
      <c r="AE18" s="61">
        <f>(AE17)-(0)</f>
        <v>0</v>
      </c>
      <c r="AF18" s="61">
        <f t="shared" si="14"/>
        <v>15535.85</v>
      </c>
      <c r="AG18" s="62" t="str">
        <f t="shared" si="15"/>
        <v/>
      </c>
      <c r="AH18" s="61">
        <f>(AH17)-(0)</f>
        <v>13998.300000000001</v>
      </c>
      <c r="AI18" s="61">
        <f>(AI17)-(0)</f>
        <v>0</v>
      </c>
      <c r="AJ18" s="61">
        <f t="shared" si="16"/>
        <v>13998.300000000001</v>
      </c>
      <c r="AK18" s="62" t="str">
        <f t="shared" si="17"/>
        <v/>
      </c>
      <c r="AL18" s="61">
        <f>(AL17)-(0)</f>
        <v>12949.15</v>
      </c>
      <c r="AM18" s="61">
        <f>(AM17)-(0)</f>
        <v>0</v>
      </c>
      <c r="AN18" s="61">
        <f t="shared" si="18"/>
        <v>12949.15</v>
      </c>
      <c r="AO18" s="62" t="str">
        <f t="shared" si="19"/>
        <v/>
      </c>
      <c r="AP18" s="61">
        <f>(AP17)-(0)</f>
        <v>15577.96</v>
      </c>
      <c r="AQ18" s="61">
        <f>(AQ17)-(0)</f>
        <v>0</v>
      </c>
      <c r="AR18" s="61">
        <f t="shared" si="20"/>
        <v>15577.96</v>
      </c>
      <c r="AS18" s="62" t="str">
        <f t="shared" si="21"/>
        <v/>
      </c>
      <c r="AT18" s="61">
        <f>(AT17)-(0)</f>
        <v>9506.9399999999987</v>
      </c>
      <c r="AU18" s="61">
        <f>(AU17)-(0)</f>
        <v>0</v>
      </c>
      <c r="AV18" s="61">
        <f t="shared" si="22"/>
        <v>9506.9399999999987</v>
      </c>
      <c r="AW18" s="62" t="str">
        <f t="shared" si="23"/>
        <v/>
      </c>
      <c r="AX18" s="61">
        <f t="shared" si="24"/>
        <v>1051768.67</v>
      </c>
      <c r="AY18" s="61">
        <f t="shared" si="24"/>
        <v>0</v>
      </c>
      <c r="AZ18" s="61">
        <f t="shared" si="25"/>
        <v>1051768.67</v>
      </c>
      <c r="BA18" s="62" t="str">
        <f t="shared" si="26"/>
        <v/>
      </c>
    </row>
    <row r="19" spans="1:53" x14ac:dyDescent="0.3">
      <c r="A19" s="57" t="s">
        <v>98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</row>
    <row r="20" spans="1:53" x14ac:dyDescent="0.3">
      <c r="A20" s="57" t="s">
        <v>99</v>
      </c>
      <c r="B20" s="58"/>
      <c r="C20" s="58"/>
      <c r="D20" s="59">
        <f t="shared" ref="D20:D83" si="27">(B20)-(C20)</f>
        <v>0</v>
      </c>
      <c r="E20" s="60" t="str">
        <f t="shared" ref="E20:E83" si="28">IF(C20=0,"",(B20)/(C20))</f>
        <v/>
      </c>
      <c r="F20" s="58"/>
      <c r="G20" s="58"/>
      <c r="H20" s="59">
        <f t="shared" ref="H20:H83" si="29">(F20)-(G20)</f>
        <v>0</v>
      </c>
      <c r="I20" s="60" t="str">
        <f t="shared" ref="I20:I83" si="30">IF(G20=0,"",(F20)/(G20))</f>
        <v/>
      </c>
      <c r="J20" s="58"/>
      <c r="K20" s="58"/>
      <c r="L20" s="59">
        <f t="shared" ref="L20:L83" si="31">(J20)-(K20)</f>
        <v>0</v>
      </c>
      <c r="M20" s="60" t="str">
        <f t="shared" ref="M20:M83" si="32">IF(K20=0,"",(J20)/(K20))</f>
        <v/>
      </c>
      <c r="N20" s="58"/>
      <c r="O20" s="58"/>
      <c r="P20" s="59">
        <f t="shared" ref="P20:P83" si="33">(N20)-(O20)</f>
        <v>0</v>
      </c>
      <c r="Q20" s="60" t="str">
        <f t="shared" ref="Q20:Q83" si="34">IF(O20=0,"",(N20)/(O20))</f>
        <v/>
      </c>
      <c r="R20" s="58"/>
      <c r="S20" s="58"/>
      <c r="T20" s="59">
        <f t="shared" ref="T20:T83" si="35">(R20)-(S20)</f>
        <v>0</v>
      </c>
      <c r="U20" s="60" t="str">
        <f t="shared" ref="U20:U83" si="36">IF(S20=0,"",(R20)/(S20))</f>
        <v/>
      </c>
      <c r="V20" s="58"/>
      <c r="W20" s="58"/>
      <c r="X20" s="59">
        <f t="shared" ref="X20:X83" si="37">(V20)-(W20)</f>
        <v>0</v>
      </c>
      <c r="Y20" s="60" t="str">
        <f t="shared" ref="Y20:Y83" si="38">IF(W20=0,"",(V20)/(W20))</f>
        <v/>
      </c>
      <c r="Z20" s="58"/>
      <c r="AA20" s="58"/>
      <c r="AB20" s="59">
        <f t="shared" ref="AB20:AB83" si="39">(Z20)-(AA20)</f>
        <v>0</v>
      </c>
      <c r="AC20" s="60" t="str">
        <f t="shared" ref="AC20:AC83" si="40">IF(AA20=0,"",(Z20)/(AA20))</f>
        <v/>
      </c>
      <c r="AD20" s="58"/>
      <c r="AE20" s="58"/>
      <c r="AF20" s="59">
        <f t="shared" ref="AF20:AF83" si="41">(AD20)-(AE20)</f>
        <v>0</v>
      </c>
      <c r="AG20" s="60" t="str">
        <f t="shared" ref="AG20:AG83" si="42">IF(AE20=0,"",(AD20)/(AE20))</f>
        <v/>
      </c>
      <c r="AH20" s="58"/>
      <c r="AI20" s="58"/>
      <c r="AJ20" s="59">
        <f t="shared" ref="AJ20:AJ83" si="43">(AH20)-(AI20)</f>
        <v>0</v>
      </c>
      <c r="AK20" s="60" t="str">
        <f t="shared" ref="AK20:AK83" si="44">IF(AI20=0,"",(AH20)/(AI20))</f>
        <v/>
      </c>
      <c r="AL20" s="58"/>
      <c r="AM20" s="58"/>
      <c r="AN20" s="59">
        <f t="shared" ref="AN20:AN83" si="45">(AL20)-(AM20)</f>
        <v>0</v>
      </c>
      <c r="AO20" s="60" t="str">
        <f t="shared" ref="AO20:AO83" si="46">IF(AM20=0,"",(AL20)/(AM20))</f>
        <v/>
      </c>
      <c r="AP20" s="58"/>
      <c r="AQ20" s="58"/>
      <c r="AR20" s="59">
        <f t="shared" ref="AR20:AR83" si="47">(AP20)-(AQ20)</f>
        <v>0</v>
      </c>
      <c r="AS20" s="60" t="str">
        <f t="shared" ref="AS20:AS83" si="48">IF(AQ20=0,"",(AP20)/(AQ20))</f>
        <v/>
      </c>
      <c r="AT20" s="58"/>
      <c r="AU20" s="58"/>
      <c r="AV20" s="59">
        <f t="shared" ref="AV20:AV83" si="49">(AT20)-(AU20)</f>
        <v>0</v>
      </c>
      <c r="AW20" s="60" t="str">
        <f t="shared" ref="AW20:AW83" si="50">IF(AU20=0,"",(AT20)/(AU20))</f>
        <v/>
      </c>
      <c r="AX20" s="59">
        <f t="shared" ref="AX20:AY51" si="51">(((((((((((B20)+(F20))+(J20))+(N20))+(R20))+(V20))+(Z20))+(AD20))+(AH20))+(AL20))+(AP20))+(AT20)</f>
        <v>0</v>
      </c>
      <c r="AY20" s="59">
        <f t="shared" si="51"/>
        <v>0</v>
      </c>
      <c r="AZ20" s="59">
        <f t="shared" ref="AZ20:AZ83" si="52">(AX20)-(AY20)</f>
        <v>0</v>
      </c>
      <c r="BA20" s="60" t="str">
        <f t="shared" ref="BA20:BA83" si="53">IF(AY20=0,"",(AX20)/(AY20))</f>
        <v/>
      </c>
    </row>
    <row r="21" spans="1:53" x14ac:dyDescent="0.3">
      <c r="A21" s="57" t="s">
        <v>100</v>
      </c>
      <c r="B21" s="59">
        <f>154.5</f>
        <v>154.5</v>
      </c>
      <c r="C21" s="58"/>
      <c r="D21" s="59">
        <f t="shared" si="27"/>
        <v>154.5</v>
      </c>
      <c r="E21" s="60" t="str">
        <f t="shared" si="28"/>
        <v/>
      </c>
      <c r="F21" s="59">
        <f>0</f>
        <v>0</v>
      </c>
      <c r="G21" s="58"/>
      <c r="H21" s="59">
        <f t="shared" si="29"/>
        <v>0</v>
      </c>
      <c r="I21" s="60" t="str">
        <f t="shared" si="30"/>
        <v/>
      </c>
      <c r="J21" s="59">
        <f>0</f>
        <v>0</v>
      </c>
      <c r="K21" s="58"/>
      <c r="L21" s="59">
        <f t="shared" si="31"/>
        <v>0</v>
      </c>
      <c r="M21" s="60" t="str">
        <f t="shared" si="32"/>
        <v/>
      </c>
      <c r="N21" s="59">
        <f>0</f>
        <v>0</v>
      </c>
      <c r="O21" s="58"/>
      <c r="P21" s="59">
        <f t="shared" si="33"/>
        <v>0</v>
      </c>
      <c r="Q21" s="60" t="str">
        <f t="shared" si="34"/>
        <v/>
      </c>
      <c r="R21" s="59">
        <f>0</f>
        <v>0</v>
      </c>
      <c r="S21" s="58"/>
      <c r="T21" s="59">
        <f t="shared" si="35"/>
        <v>0</v>
      </c>
      <c r="U21" s="60" t="str">
        <f t="shared" si="36"/>
        <v/>
      </c>
      <c r="V21" s="59">
        <f>0</f>
        <v>0</v>
      </c>
      <c r="W21" s="58"/>
      <c r="X21" s="59">
        <f t="shared" si="37"/>
        <v>0</v>
      </c>
      <c r="Y21" s="60" t="str">
        <f t="shared" si="38"/>
        <v/>
      </c>
      <c r="Z21" s="59">
        <f>-154.5</f>
        <v>-154.5</v>
      </c>
      <c r="AA21" s="58"/>
      <c r="AB21" s="59">
        <f t="shared" si="39"/>
        <v>-154.5</v>
      </c>
      <c r="AC21" s="60" t="str">
        <f t="shared" si="40"/>
        <v/>
      </c>
      <c r="AD21" s="59">
        <f>154.5</f>
        <v>154.5</v>
      </c>
      <c r="AE21" s="58"/>
      <c r="AF21" s="59">
        <f t="shared" si="41"/>
        <v>154.5</v>
      </c>
      <c r="AG21" s="60" t="str">
        <f t="shared" si="42"/>
        <v/>
      </c>
      <c r="AH21" s="59">
        <f>0</f>
        <v>0</v>
      </c>
      <c r="AI21" s="58"/>
      <c r="AJ21" s="59">
        <f t="shared" si="43"/>
        <v>0</v>
      </c>
      <c r="AK21" s="60" t="str">
        <f t="shared" si="44"/>
        <v/>
      </c>
      <c r="AL21" s="59">
        <f>0</f>
        <v>0</v>
      </c>
      <c r="AM21" s="58"/>
      <c r="AN21" s="59">
        <f t="shared" si="45"/>
        <v>0</v>
      </c>
      <c r="AO21" s="60" t="str">
        <f t="shared" si="46"/>
        <v/>
      </c>
      <c r="AP21" s="59">
        <f>0</f>
        <v>0</v>
      </c>
      <c r="AQ21" s="58"/>
      <c r="AR21" s="59">
        <f t="shared" si="47"/>
        <v>0</v>
      </c>
      <c r="AS21" s="60" t="str">
        <f t="shared" si="48"/>
        <v/>
      </c>
      <c r="AT21" s="59">
        <f>-154.5</f>
        <v>-154.5</v>
      </c>
      <c r="AU21" s="58"/>
      <c r="AV21" s="59">
        <f t="shared" si="49"/>
        <v>-154.5</v>
      </c>
      <c r="AW21" s="60" t="str">
        <f t="shared" si="50"/>
        <v/>
      </c>
      <c r="AX21" s="59">
        <f t="shared" si="51"/>
        <v>0</v>
      </c>
      <c r="AY21" s="59">
        <f t="shared" si="51"/>
        <v>0</v>
      </c>
      <c r="AZ21" s="59">
        <f t="shared" si="52"/>
        <v>0</v>
      </c>
      <c r="BA21" s="60" t="str">
        <f t="shared" si="53"/>
        <v/>
      </c>
    </row>
    <row r="22" spans="1:53" x14ac:dyDescent="0.3">
      <c r="A22" s="57" t="s">
        <v>101</v>
      </c>
      <c r="B22" s="59">
        <f>3584.35</f>
        <v>3584.35</v>
      </c>
      <c r="C22" s="58"/>
      <c r="D22" s="59">
        <f t="shared" si="27"/>
        <v>3584.35</v>
      </c>
      <c r="E22" s="60" t="str">
        <f t="shared" si="28"/>
        <v/>
      </c>
      <c r="F22" s="59">
        <f>3420.92</f>
        <v>3420.92</v>
      </c>
      <c r="G22" s="58"/>
      <c r="H22" s="59">
        <f t="shared" si="29"/>
        <v>3420.92</v>
      </c>
      <c r="I22" s="60" t="str">
        <f t="shared" si="30"/>
        <v/>
      </c>
      <c r="J22" s="59">
        <f>3420.92</f>
        <v>3420.92</v>
      </c>
      <c r="K22" s="58"/>
      <c r="L22" s="59">
        <f t="shared" si="31"/>
        <v>3420.92</v>
      </c>
      <c r="M22" s="60" t="str">
        <f t="shared" si="32"/>
        <v/>
      </c>
      <c r="N22" s="59">
        <f>3420.92</f>
        <v>3420.92</v>
      </c>
      <c r="O22" s="58"/>
      <c r="P22" s="59">
        <f t="shared" si="33"/>
        <v>3420.92</v>
      </c>
      <c r="Q22" s="60" t="str">
        <f t="shared" si="34"/>
        <v/>
      </c>
      <c r="R22" s="59">
        <f>3420.92</f>
        <v>3420.92</v>
      </c>
      <c r="S22" s="58"/>
      <c r="T22" s="59">
        <f t="shared" si="35"/>
        <v>3420.92</v>
      </c>
      <c r="U22" s="60" t="str">
        <f t="shared" si="36"/>
        <v/>
      </c>
      <c r="V22" s="59">
        <f>3420.92</f>
        <v>3420.92</v>
      </c>
      <c r="W22" s="58"/>
      <c r="X22" s="59">
        <f t="shared" si="37"/>
        <v>3420.92</v>
      </c>
      <c r="Y22" s="60" t="str">
        <f t="shared" si="38"/>
        <v/>
      </c>
      <c r="Z22" s="59">
        <f>3431.45</f>
        <v>3431.45</v>
      </c>
      <c r="AA22" s="58"/>
      <c r="AB22" s="59">
        <f t="shared" si="39"/>
        <v>3431.45</v>
      </c>
      <c r="AC22" s="60" t="str">
        <f t="shared" si="40"/>
        <v/>
      </c>
      <c r="AD22" s="59">
        <f>3420.92</f>
        <v>3420.92</v>
      </c>
      <c r="AE22" s="58"/>
      <c r="AF22" s="59">
        <f t="shared" si="41"/>
        <v>3420.92</v>
      </c>
      <c r="AG22" s="60" t="str">
        <f t="shared" si="42"/>
        <v/>
      </c>
      <c r="AH22" s="59">
        <f>3420.92</f>
        <v>3420.92</v>
      </c>
      <c r="AI22" s="58"/>
      <c r="AJ22" s="59">
        <f t="shared" si="43"/>
        <v>3420.92</v>
      </c>
      <c r="AK22" s="60" t="str">
        <f t="shared" si="44"/>
        <v/>
      </c>
      <c r="AL22" s="59">
        <f>6848.54</f>
        <v>6848.54</v>
      </c>
      <c r="AM22" s="58"/>
      <c r="AN22" s="59">
        <f t="shared" si="45"/>
        <v>6848.54</v>
      </c>
      <c r="AO22" s="60" t="str">
        <f t="shared" si="46"/>
        <v/>
      </c>
      <c r="AP22" s="59">
        <f>3406.03</f>
        <v>3406.03</v>
      </c>
      <c r="AQ22" s="58"/>
      <c r="AR22" s="59">
        <f t="shared" si="47"/>
        <v>3406.03</v>
      </c>
      <c r="AS22" s="60" t="str">
        <f t="shared" si="48"/>
        <v/>
      </c>
      <c r="AT22" s="59">
        <f>4010.55</f>
        <v>4010.55</v>
      </c>
      <c r="AU22" s="58"/>
      <c r="AV22" s="59">
        <f t="shared" si="49"/>
        <v>4010.55</v>
      </c>
      <c r="AW22" s="60" t="str">
        <f t="shared" si="50"/>
        <v/>
      </c>
      <c r="AX22" s="59">
        <f t="shared" si="51"/>
        <v>45227.360000000001</v>
      </c>
      <c r="AY22" s="59">
        <v>42500</v>
      </c>
      <c r="AZ22" s="59">
        <f t="shared" si="52"/>
        <v>2727.3600000000006</v>
      </c>
      <c r="BA22" s="60" t="s">
        <v>264</v>
      </c>
    </row>
    <row r="23" spans="1:53" x14ac:dyDescent="0.3">
      <c r="A23" s="57" t="s">
        <v>102</v>
      </c>
      <c r="B23" s="58"/>
      <c r="C23" s="58"/>
      <c r="D23" s="59">
        <f t="shared" si="27"/>
        <v>0</v>
      </c>
      <c r="E23" s="60" t="str">
        <f t="shared" si="28"/>
        <v/>
      </c>
      <c r="F23" s="58"/>
      <c r="G23" s="58"/>
      <c r="H23" s="59">
        <f t="shared" si="29"/>
        <v>0</v>
      </c>
      <c r="I23" s="60" t="str">
        <f t="shared" si="30"/>
        <v/>
      </c>
      <c r="J23" s="58"/>
      <c r="K23" s="58"/>
      <c r="L23" s="59">
        <f t="shared" si="31"/>
        <v>0</v>
      </c>
      <c r="M23" s="60" t="str">
        <f t="shared" si="32"/>
        <v/>
      </c>
      <c r="N23" s="58"/>
      <c r="O23" s="58"/>
      <c r="P23" s="59">
        <f t="shared" si="33"/>
        <v>0</v>
      </c>
      <c r="Q23" s="60" t="str">
        <f t="shared" si="34"/>
        <v/>
      </c>
      <c r="R23" s="58"/>
      <c r="S23" s="58"/>
      <c r="T23" s="59">
        <f t="shared" si="35"/>
        <v>0</v>
      </c>
      <c r="U23" s="60" t="str">
        <f t="shared" si="36"/>
        <v/>
      </c>
      <c r="V23" s="58"/>
      <c r="W23" s="58"/>
      <c r="X23" s="59">
        <f t="shared" si="37"/>
        <v>0</v>
      </c>
      <c r="Y23" s="60" t="str">
        <f t="shared" si="38"/>
        <v/>
      </c>
      <c r="Z23" s="58"/>
      <c r="AA23" s="58"/>
      <c r="AB23" s="59">
        <f t="shared" si="39"/>
        <v>0</v>
      </c>
      <c r="AC23" s="60" t="str">
        <f t="shared" si="40"/>
        <v/>
      </c>
      <c r="AD23" s="58"/>
      <c r="AE23" s="58"/>
      <c r="AF23" s="59">
        <f t="shared" si="41"/>
        <v>0</v>
      </c>
      <c r="AG23" s="60" t="str">
        <f t="shared" si="42"/>
        <v/>
      </c>
      <c r="AH23" s="58"/>
      <c r="AI23" s="58"/>
      <c r="AJ23" s="59">
        <f t="shared" si="43"/>
        <v>0</v>
      </c>
      <c r="AK23" s="60" t="str">
        <f t="shared" si="44"/>
        <v/>
      </c>
      <c r="AL23" s="58"/>
      <c r="AM23" s="58"/>
      <c r="AN23" s="59">
        <f t="shared" si="45"/>
        <v>0</v>
      </c>
      <c r="AO23" s="60" t="str">
        <f t="shared" si="46"/>
        <v/>
      </c>
      <c r="AP23" s="59">
        <f>10711</f>
        <v>10711</v>
      </c>
      <c r="AQ23" s="58"/>
      <c r="AR23" s="59">
        <f t="shared" si="47"/>
        <v>10711</v>
      </c>
      <c r="AS23" s="60" t="str">
        <f t="shared" si="48"/>
        <v/>
      </c>
      <c r="AT23" s="58"/>
      <c r="AU23" s="58"/>
      <c r="AV23" s="59">
        <f t="shared" si="49"/>
        <v>0</v>
      </c>
      <c r="AW23" s="60" t="str">
        <f t="shared" si="50"/>
        <v/>
      </c>
      <c r="AX23" s="59">
        <f t="shared" si="51"/>
        <v>10711</v>
      </c>
      <c r="AY23" s="59">
        <v>12000</v>
      </c>
      <c r="AZ23" s="59">
        <f t="shared" si="52"/>
        <v>-1289</v>
      </c>
      <c r="BA23" s="60">
        <f t="shared" si="53"/>
        <v>0.89258333333333328</v>
      </c>
    </row>
    <row r="24" spans="1:53" x14ac:dyDescent="0.3">
      <c r="A24" s="57" t="s">
        <v>103</v>
      </c>
      <c r="B24" s="58"/>
      <c r="C24" s="58"/>
      <c r="D24" s="59">
        <f t="shared" si="27"/>
        <v>0</v>
      </c>
      <c r="E24" s="60" t="str">
        <f t="shared" si="28"/>
        <v/>
      </c>
      <c r="F24" s="58"/>
      <c r="G24" s="58"/>
      <c r="H24" s="59">
        <f t="shared" si="29"/>
        <v>0</v>
      </c>
      <c r="I24" s="60" t="str">
        <f t="shared" si="30"/>
        <v/>
      </c>
      <c r="J24" s="58"/>
      <c r="K24" s="58"/>
      <c r="L24" s="59">
        <f t="shared" si="31"/>
        <v>0</v>
      </c>
      <c r="M24" s="60" t="str">
        <f t="shared" si="32"/>
        <v/>
      </c>
      <c r="N24" s="58"/>
      <c r="O24" s="58"/>
      <c r="P24" s="59">
        <f t="shared" si="33"/>
        <v>0</v>
      </c>
      <c r="Q24" s="60" t="str">
        <f t="shared" si="34"/>
        <v/>
      </c>
      <c r="R24" s="58"/>
      <c r="S24" s="58"/>
      <c r="T24" s="59">
        <f t="shared" si="35"/>
        <v>0</v>
      </c>
      <c r="U24" s="60" t="str">
        <f t="shared" si="36"/>
        <v/>
      </c>
      <c r="V24" s="58"/>
      <c r="W24" s="58"/>
      <c r="X24" s="59">
        <f t="shared" si="37"/>
        <v>0</v>
      </c>
      <c r="Y24" s="60" t="str">
        <f t="shared" si="38"/>
        <v/>
      </c>
      <c r="Z24" s="58"/>
      <c r="AA24" s="58"/>
      <c r="AB24" s="59">
        <f t="shared" si="39"/>
        <v>0</v>
      </c>
      <c r="AC24" s="60" t="str">
        <f t="shared" si="40"/>
        <v/>
      </c>
      <c r="AD24" s="59">
        <f>25</f>
        <v>25</v>
      </c>
      <c r="AE24" s="58"/>
      <c r="AF24" s="59">
        <f t="shared" si="41"/>
        <v>25</v>
      </c>
      <c r="AG24" s="60" t="str">
        <f t="shared" si="42"/>
        <v/>
      </c>
      <c r="AH24" s="58"/>
      <c r="AI24" s="58"/>
      <c r="AJ24" s="59">
        <f t="shared" si="43"/>
        <v>0</v>
      </c>
      <c r="AK24" s="60" t="str">
        <f t="shared" si="44"/>
        <v/>
      </c>
      <c r="AL24" s="59">
        <f>808</f>
        <v>808</v>
      </c>
      <c r="AM24" s="58"/>
      <c r="AN24" s="59">
        <f t="shared" si="45"/>
        <v>808</v>
      </c>
      <c r="AO24" s="60" t="str">
        <f t="shared" si="46"/>
        <v/>
      </c>
      <c r="AP24" s="58"/>
      <c r="AQ24" s="58"/>
      <c r="AR24" s="59">
        <f t="shared" si="47"/>
        <v>0</v>
      </c>
      <c r="AS24" s="60" t="str">
        <f t="shared" si="48"/>
        <v/>
      </c>
      <c r="AT24" s="58"/>
      <c r="AU24" s="58"/>
      <c r="AV24" s="59">
        <f t="shared" si="49"/>
        <v>0</v>
      </c>
      <c r="AW24" s="60" t="str">
        <f t="shared" si="50"/>
        <v/>
      </c>
      <c r="AX24" s="59">
        <f t="shared" si="51"/>
        <v>833</v>
      </c>
      <c r="AY24" s="59">
        <v>2000</v>
      </c>
      <c r="AZ24" s="59">
        <f t="shared" si="52"/>
        <v>-1167</v>
      </c>
      <c r="BA24" s="60">
        <f t="shared" si="53"/>
        <v>0.41649999999999998</v>
      </c>
    </row>
    <row r="25" spans="1:53" x14ac:dyDescent="0.3">
      <c r="A25" s="57" t="s">
        <v>104</v>
      </c>
      <c r="B25" s="61">
        <f>((((B20)+(B21))+(B22))+(B23))+(B24)</f>
        <v>3738.85</v>
      </c>
      <c r="C25" s="61">
        <f>((((C20)+(C21))+(C22))+(C23))+(C24)</f>
        <v>0</v>
      </c>
      <c r="D25" s="61">
        <f t="shared" si="27"/>
        <v>3738.85</v>
      </c>
      <c r="E25" s="62" t="str">
        <f t="shared" si="28"/>
        <v/>
      </c>
      <c r="F25" s="61">
        <f>((((F20)+(F21))+(F22))+(F23))+(F24)</f>
        <v>3420.92</v>
      </c>
      <c r="G25" s="61">
        <f>((((G20)+(G21))+(G22))+(G23))+(G24)</f>
        <v>0</v>
      </c>
      <c r="H25" s="61">
        <f t="shared" si="29"/>
        <v>3420.92</v>
      </c>
      <c r="I25" s="62" t="str">
        <f t="shared" si="30"/>
        <v/>
      </c>
      <c r="J25" s="61">
        <f>((((J20)+(J21))+(J22))+(J23))+(J24)</f>
        <v>3420.92</v>
      </c>
      <c r="K25" s="61">
        <f>((((K20)+(K21))+(K22))+(K23))+(K24)</f>
        <v>0</v>
      </c>
      <c r="L25" s="61">
        <f t="shared" si="31"/>
        <v>3420.92</v>
      </c>
      <c r="M25" s="62" t="str">
        <f t="shared" si="32"/>
        <v/>
      </c>
      <c r="N25" s="61">
        <f>((((N20)+(N21))+(N22))+(N23))+(N24)</f>
        <v>3420.92</v>
      </c>
      <c r="O25" s="61">
        <f>((((O20)+(O21))+(O22))+(O23))+(O24)</f>
        <v>0</v>
      </c>
      <c r="P25" s="61">
        <f t="shared" si="33"/>
        <v>3420.92</v>
      </c>
      <c r="Q25" s="62" t="str">
        <f t="shared" si="34"/>
        <v/>
      </c>
      <c r="R25" s="61">
        <f>((((R20)+(R21))+(R22))+(R23))+(R24)</f>
        <v>3420.92</v>
      </c>
      <c r="S25" s="61">
        <f>((((S20)+(S21))+(S22))+(S23))+(S24)</f>
        <v>0</v>
      </c>
      <c r="T25" s="61">
        <f t="shared" si="35"/>
        <v>3420.92</v>
      </c>
      <c r="U25" s="62" t="str">
        <f t="shared" si="36"/>
        <v/>
      </c>
      <c r="V25" s="61">
        <f>((((V20)+(V21))+(V22))+(V23))+(V24)</f>
        <v>3420.92</v>
      </c>
      <c r="W25" s="61">
        <f>((((W20)+(W21))+(W22))+(W23))+(W24)</f>
        <v>0</v>
      </c>
      <c r="X25" s="61">
        <f t="shared" si="37"/>
        <v>3420.92</v>
      </c>
      <c r="Y25" s="62" t="str">
        <f t="shared" si="38"/>
        <v/>
      </c>
      <c r="Z25" s="61">
        <f>((((Z20)+(Z21))+(Z22))+(Z23))+(Z24)</f>
        <v>3276.95</v>
      </c>
      <c r="AA25" s="61">
        <f>((((AA20)+(AA21))+(AA22))+(AA23))+(AA24)</f>
        <v>0</v>
      </c>
      <c r="AB25" s="61">
        <f t="shared" si="39"/>
        <v>3276.95</v>
      </c>
      <c r="AC25" s="62" t="str">
        <f t="shared" si="40"/>
        <v/>
      </c>
      <c r="AD25" s="61">
        <f>((((AD20)+(AD21))+(AD22))+(AD23))+(AD24)</f>
        <v>3600.42</v>
      </c>
      <c r="AE25" s="61">
        <f>((((AE20)+(AE21))+(AE22))+(AE23))+(AE24)</f>
        <v>0</v>
      </c>
      <c r="AF25" s="61">
        <f t="shared" si="41"/>
        <v>3600.42</v>
      </c>
      <c r="AG25" s="62" t="str">
        <f t="shared" si="42"/>
        <v/>
      </c>
      <c r="AH25" s="61">
        <f>((((AH20)+(AH21))+(AH22))+(AH23))+(AH24)</f>
        <v>3420.92</v>
      </c>
      <c r="AI25" s="61">
        <f>((((AI20)+(AI21))+(AI22))+(AI23))+(AI24)</f>
        <v>0</v>
      </c>
      <c r="AJ25" s="61">
        <f t="shared" si="43"/>
        <v>3420.92</v>
      </c>
      <c r="AK25" s="62" t="str">
        <f t="shared" si="44"/>
        <v/>
      </c>
      <c r="AL25" s="61">
        <f>((((AL20)+(AL21))+(AL22))+(AL23))+(AL24)</f>
        <v>7656.54</v>
      </c>
      <c r="AM25" s="61">
        <f>((((AM20)+(AM21))+(AM22))+(AM23))+(AM24)</f>
        <v>0</v>
      </c>
      <c r="AN25" s="61">
        <f t="shared" si="45"/>
        <v>7656.54</v>
      </c>
      <c r="AO25" s="62" t="str">
        <f t="shared" si="46"/>
        <v/>
      </c>
      <c r="AP25" s="61">
        <f>((((AP20)+(AP21))+(AP22))+(AP23))+(AP24)</f>
        <v>14117.03</v>
      </c>
      <c r="AQ25" s="61">
        <f>((((AQ20)+(AQ21))+(AQ22))+(AQ23))+(AQ24)</f>
        <v>0</v>
      </c>
      <c r="AR25" s="61">
        <f t="shared" si="47"/>
        <v>14117.03</v>
      </c>
      <c r="AS25" s="62" t="str">
        <f t="shared" si="48"/>
        <v/>
      </c>
      <c r="AT25" s="61">
        <f>((((AT20)+(AT21))+(AT22))+(AT23))+(AT24)</f>
        <v>3856.05</v>
      </c>
      <c r="AU25" s="61">
        <f>((((AU20)+(AU21))+(AU22))+(AU23))+(AU24)</f>
        <v>0</v>
      </c>
      <c r="AV25" s="61">
        <f t="shared" si="49"/>
        <v>3856.05</v>
      </c>
      <c r="AW25" s="62" t="str">
        <f t="shared" si="50"/>
        <v/>
      </c>
      <c r="AX25" s="61">
        <f t="shared" si="51"/>
        <v>56771.360000000001</v>
      </c>
      <c r="AY25" s="61">
        <f>AY22+AY23+AY24</f>
        <v>56500</v>
      </c>
      <c r="AZ25" s="61">
        <f t="shared" si="52"/>
        <v>271.36000000000058</v>
      </c>
      <c r="BA25" s="62">
        <f t="shared" si="53"/>
        <v>1.004802831858407</v>
      </c>
    </row>
    <row r="26" spans="1:53" x14ac:dyDescent="0.3">
      <c r="A26" s="57" t="s">
        <v>105</v>
      </c>
      <c r="B26" s="59">
        <f>1992.62</f>
        <v>1992.62</v>
      </c>
      <c r="C26" s="58"/>
      <c r="D26" s="59">
        <f t="shared" si="27"/>
        <v>1992.62</v>
      </c>
      <c r="E26" s="60" t="str">
        <f t="shared" si="28"/>
        <v/>
      </c>
      <c r="F26" s="58"/>
      <c r="G26" s="58"/>
      <c r="H26" s="59">
        <f t="shared" si="29"/>
        <v>0</v>
      </c>
      <c r="I26" s="60" t="str">
        <f t="shared" si="30"/>
        <v/>
      </c>
      <c r="J26" s="58"/>
      <c r="K26" s="58"/>
      <c r="L26" s="59">
        <f t="shared" si="31"/>
        <v>0</v>
      </c>
      <c r="M26" s="60" t="str">
        <f t="shared" si="32"/>
        <v/>
      </c>
      <c r="N26" s="58"/>
      <c r="O26" s="58"/>
      <c r="P26" s="59">
        <f t="shared" si="33"/>
        <v>0</v>
      </c>
      <c r="Q26" s="60" t="str">
        <f t="shared" si="34"/>
        <v/>
      </c>
      <c r="R26" s="58"/>
      <c r="S26" s="58"/>
      <c r="T26" s="59">
        <f t="shared" si="35"/>
        <v>0</v>
      </c>
      <c r="U26" s="60" t="str">
        <f t="shared" si="36"/>
        <v/>
      </c>
      <c r="V26" s="59">
        <f>1382.5</f>
        <v>1382.5</v>
      </c>
      <c r="W26" s="58"/>
      <c r="X26" s="59">
        <f t="shared" si="37"/>
        <v>1382.5</v>
      </c>
      <c r="Y26" s="60" t="str">
        <f t="shared" si="38"/>
        <v/>
      </c>
      <c r="Z26" s="59">
        <f>2820.68</f>
        <v>2820.68</v>
      </c>
      <c r="AA26" s="58"/>
      <c r="AB26" s="59">
        <f t="shared" si="39"/>
        <v>2820.68</v>
      </c>
      <c r="AC26" s="60" t="str">
        <f t="shared" si="40"/>
        <v/>
      </c>
      <c r="AD26" s="58"/>
      <c r="AE26" s="58"/>
      <c r="AF26" s="59">
        <f t="shared" si="41"/>
        <v>0</v>
      </c>
      <c r="AG26" s="60" t="str">
        <f t="shared" si="42"/>
        <v/>
      </c>
      <c r="AH26" s="59">
        <f>1460.9</f>
        <v>1460.9</v>
      </c>
      <c r="AI26" s="58"/>
      <c r="AJ26" s="59">
        <f t="shared" si="43"/>
        <v>1460.9</v>
      </c>
      <c r="AK26" s="60" t="str">
        <f t="shared" si="44"/>
        <v/>
      </c>
      <c r="AL26" s="58"/>
      <c r="AM26" s="58"/>
      <c r="AN26" s="59">
        <f t="shared" si="45"/>
        <v>0</v>
      </c>
      <c r="AO26" s="60" t="str">
        <f t="shared" si="46"/>
        <v/>
      </c>
      <c r="AP26" s="59">
        <f>1388.22</f>
        <v>1388.22</v>
      </c>
      <c r="AQ26" s="58"/>
      <c r="AR26" s="59">
        <f t="shared" si="47"/>
        <v>1388.22</v>
      </c>
      <c r="AS26" s="60" t="str">
        <f t="shared" si="48"/>
        <v/>
      </c>
      <c r="AT26" s="59">
        <f>6293.91</f>
        <v>6293.91</v>
      </c>
      <c r="AU26" s="58"/>
      <c r="AV26" s="59">
        <f t="shared" si="49"/>
        <v>6293.91</v>
      </c>
      <c r="AW26" s="60" t="str">
        <f t="shared" si="50"/>
        <v/>
      </c>
      <c r="AX26" s="59">
        <f t="shared" si="51"/>
        <v>15338.829999999998</v>
      </c>
      <c r="AY26" s="59">
        <f t="shared" si="51"/>
        <v>0</v>
      </c>
      <c r="AZ26" s="59">
        <f t="shared" si="52"/>
        <v>15338.829999999998</v>
      </c>
      <c r="BA26" s="60" t="str">
        <f t="shared" si="53"/>
        <v/>
      </c>
    </row>
    <row r="27" spans="1:53" x14ac:dyDescent="0.3">
      <c r="A27" s="57" t="s">
        <v>106</v>
      </c>
      <c r="B27" s="59">
        <f>2462.88</f>
        <v>2462.88</v>
      </c>
      <c r="C27" s="58"/>
      <c r="D27" s="59">
        <f t="shared" si="27"/>
        <v>2462.88</v>
      </c>
      <c r="E27" s="60" t="str">
        <f t="shared" si="28"/>
        <v/>
      </c>
      <c r="F27" s="59">
        <f>2462.09</f>
        <v>2462.09</v>
      </c>
      <c r="G27" s="58"/>
      <c r="H27" s="59">
        <f t="shared" si="29"/>
        <v>2462.09</v>
      </c>
      <c r="I27" s="60" t="str">
        <f t="shared" si="30"/>
        <v/>
      </c>
      <c r="J27" s="59">
        <f>2439.72</f>
        <v>2439.7199999999998</v>
      </c>
      <c r="K27" s="58"/>
      <c r="L27" s="59">
        <f t="shared" si="31"/>
        <v>2439.7199999999998</v>
      </c>
      <c r="M27" s="60" t="str">
        <f t="shared" si="32"/>
        <v/>
      </c>
      <c r="N27" s="59">
        <f>2420.1</f>
        <v>2420.1</v>
      </c>
      <c r="O27" s="58"/>
      <c r="P27" s="59">
        <f t="shared" si="33"/>
        <v>2420.1</v>
      </c>
      <c r="Q27" s="60" t="str">
        <f t="shared" si="34"/>
        <v/>
      </c>
      <c r="R27" s="59">
        <f>2467.26</f>
        <v>2467.2600000000002</v>
      </c>
      <c r="S27" s="58"/>
      <c r="T27" s="59">
        <f t="shared" si="35"/>
        <v>2467.2600000000002</v>
      </c>
      <c r="U27" s="60" t="str">
        <f t="shared" si="36"/>
        <v/>
      </c>
      <c r="V27" s="59">
        <f>2422.94</f>
        <v>2422.94</v>
      </c>
      <c r="W27" s="58"/>
      <c r="X27" s="59">
        <f t="shared" si="37"/>
        <v>2422.94</v>
      </c>
      <c r="Y27" s="60" t="str">
        <f t="shared" si="38"/>
        <v/>
      </c>
      <c r="Z27" s="59">
        <f>3438.83</f>
        <v>3438.83</v>
      </c>
      <c r="AA27" s="58"/>
      <c r="AB27" s="59">
        <f t="shared" si="39"/>
        <v>3438.83</v>
      </c>
      <c r="AC27" s="60" t="str">
        <f t="shared" si="40"/>
        <v/>
      </c>
      <c r="AD27" s="59">
        <f>2391.66</f>
        <v>2391.66</v>
      </c>
      <c r="AE27" s="58"/>
      <c r="AF27" s="59">
        <f t="shared" si="41"/>
        <v>2391.66</v>
      </c>
      <c r="AG27" s="60" t="str">
        <f t="shared" si="42"/>
        <v/>
      </c>
      <c r="AH27" s="59">
        <f>2439.08</f>
        <v>2439.08</v>
      </c>
      <c r="AI27" s="58"/>
      <c r="AJ27" s="59">
        <f t="shared" si="43"/>
        <v>2439.08</v>
      </c>
      <c r="AK27" s="60" t="str">
        <f t="shared" si="44"/>
        <v/>
      </c>
      <c r="AL27" s="59">
        <f>2359.06</f>
        <v>2359.06</v>
      </c>
      <c r="AM27" s="58"/>
      <c r="AN27" s="59">
        <f t="shared" si="45"/>
        <v>2359.06</v>
      </c>
      <c r="AO27" s="60" t="str">
        <f t="shared" si="46"/>
        <v/>
      </c>
      <c r="AP27" s="59">
        <f>2405.78</f>
        <v>2405.7800000000002</v>
      </c>
      <c r="AQ27" s="58"/>
      <c r="AR27" s="59">
        <f t="shared" si="47"/>
        <v>2405.7800000000002</v>
      </c>
      <c r="AS27" s="60" t="str">
        <f t="shared" si="48"/>
        <v/>
      </c>
      <c r="AT27" s="59">
        <f>3623.21</f>
        <v>3623.21</v>
      </c>
      <c r="AU27" s="58"/>
      <c r="AV27" s="59">
        <f t="shared" si="49"/>
        <v>3623.21</v>
      </c>
      <c r="AW27" s="60" t="str">
        <f t="shared" si="50"/>
        <v/>
      </c>
      <c r="AX27" s="59">
        <f t="shared" si="51"/>
        <v>31332.609999999997</v>
      </c>
      <c r="AY27" s="59">
        <v>46500</v>
      </c>
      <c r="AZ27" s="59">
        <f t="shared" si="52"/>
        <v>-15167.390000000003</v>
      </c>
      <c r="BA27" s="60">
        <f t="shared" si="53"/>
        <v>0.67381956989247305</v>
      </c>
    </row>
    <row r="28" spans="1:53" x14ac:dyDescent="0.3">
      <c r="A28" s="57" t="s">
        <v>107</v>
      </c>
      <c r="B28" s="59">
        <f>27896.89</f>
        <v>27896.89</v>
      </c>
      <c r="C28" s="58"/>
      <c r="D28" s="59">
        <f t="shared" si="27"/>
        <v>27896.89</v>
      </c>
      <c r="E28" s="60" t="str">
        <f t="shared" si="28"/>
        <v/>
      </c>
      <c r="F28" s="59">
        <f>30747.74</f>
        <v>30747.74</v>
      </c>
      <c r="G28" s="58"/>
      <c r="H28" s="59">
        <f t="shared" si="29"/>
        <v>30747.74</v>
      </c>
      <c r="I28" s="60" t="str">
        <f t="shared" si="30"/>
        <v/>
      </c>
      <c r="J28" s="59">
        <f>30813.95</f>
        <v>30813.95</v>
      </c>
      <c r="K28" s="58"/>
      <c r="L28" s="59">
        <f t="shared" si="31"/>
        <v>30813.95</v>
      </c>
      <c r="M28" s="60" t="str">
        <f t="shared" si="32"/>
        <v/>
      </c>
      <c r="N28" s="59">
        <f>30874.03</f>
        <v>30874.03</v>
      </c>
      <c r="O28" s="58"/>
      <c r="P28" s="59">
        <f t="shared" si="33"/>
        <v>30874.03</v>
      </c>
      <c r="Q28" s="60" t="str">
        <f t="shared" si="34"/>
        <v/>
      </c>
      <c r="R28" s="59">
        <f>31921.66</f>
        <v>31921.66</v>
      </c>
      <c r="S28" s="58"/>
      <c r="T28" s="59">
        <f t="shared" si="35"/>
        <v>31921.66</v>
      </c>
      <c r="U28" s="60" t="str">
        <f t="shared" si="36"/>
        <v/>
      </c>
      <c r="V28" s="59">
        <f>30103.81</f>
        <v>30103.81</v>
      </c>
      <c r="W28" s="58"/>
      <c r="X28" s="59">
        <f t="shared" si="37"/>
        <v>30103.81</v>
      </c>
      <c r="Y28" s="60" t="str">
        <f t="shared" si="38"/>
        <v/>
      </c>
      <c r="Z28" s="59">
        <f>42096.54</f>
        <v>42096.54</v>
      </c>
      <c r="AA28" s="58"/>
      <c r="AB28" s="59">
        <f t="shared" si="39"/>
        <v>42096.54</v>
      </c>
      <c r="AC28" s="60" t="str">
        <f t="shared" si="40"/>
        <v/>
      </c>
      <c r="AD28" s="59">
        <f>31208.74</f>
        <v>31208.74</v>
      </c>
      <c r="AE28" s="58"/>
      <c r="AF28" s="59">
        <f t="shared" si="41"/>
        <v>31208.74</v>
      </c>
      <c r="AG28" s="60" t="str">
        <f t="shared" si="42"/>
        <v/>
      </c>
      <c r="AH28" s="59">
        <f>30341.7</f>
        <v>30341.7</v>
      </c>
      <c r="AI28" s="58"/>
      <c r="AJ28" s="59">
        <f t="shared" si="43"/>
        <v>30341.7</v>
      </c>
      <c r="AK28" s="60" t="str">
        <f t="shared" si="44"/>
        <v/>
      </c>
      <c r="AL28" s="59">
        <f>30792.09</f>
        <v>30792.09</v>
      </c>
      <c r="AM28" s="58"/>
      <c r="AN28" s="59">
        <f t="shared" si="45"/>
        <v>30792.09</v>
      </c>
      <c r="AO28" s="60" t="str">
        <f t="shared" si="46"/>
        <v/>
      </c>
      <c r="AP28" s="59">
        <f>29984.16</f>
        <v>29984.16</v>
      </c>
      <c r="AQ28" s="58"/>
      <c r="AR28" s="59">
        <f t="shared" si="47"/>
        <v>29984.16</v>
      </c>
      <c r="AS28" s="60" t="str">
        <f t="shared" si="48"/>
        <v/>
      </c>
      <c r="AT28" s="59">
        <f>41009.37</f>
        <v>41009.370000000003</v>
      </c>
      <c r="AU28" s="58"/>
      <c r="AV28" s="59">
        <f t="shared" si="49"/>
        <v>41009.370000000003</v>
      </c>
      <c r="AW28" s="60" t="str">
        <f t="shared" si="50"/>
        <v/>
      </c>
      <c r="AX28" s="59">
        <f t="shared" si="51"/>
        <v>387790.68</v>
      </c>
      <c r="AY28" s="59">
        <v>420000</v>
      </c>
      <c r="AZ28" s="59">
        <f t="shared" si="52"/>
        <v>-32209.320000000007</v>
      </c>
      <c r="BA28" s="60">
        <f t="shared" si="53"/>
        <v>0.92331114285714289</v>
      </c>
    </row>
    <row r="29" spans="1:53" x14ac:dyDescent="0.3">
      <c r="A29" s="57" t="s">
        <v>108</v>
      </c>
      <c r="B29" s="61">
        <f>((B26)+(B27))+(B28)</f>
        <v>32352.39</v>
      </c>
      <c r="C29" s="61">
        <f>((C26)+(C27))+(C28)</f>
        <v>0</v>
      </c>
      <c r="D29" s="61">
        <f t="shared" si="27"/>
        <v>32352.39</v>
      </c>
      <c r="E29" s="62" t="str">
        <f t="shared" si="28"/>
        <v/>
      </c>
      <c r="F29" s="61">
        <f>((F26)+(F27))+(F28)</f>
        <v>33209.83</v>
      </c>
      <c r="G29" s="61">
        <f>((G26)+(G27))+(G28)</f>
        <v>0</v>
      </c>
      <c r="H29" s="61">
        <f t="shared" si="29"/>
        <v>33209.83</v>
      </c>
      <c r="I29" s="62" t="str">
        <f t="shared" si="30"/>
        <v/>
      </c>
      <c r="J29" s="61">
        <f>((J26)+(J27))+(J28)</f>
        <v>33253.67</v>
      </c>
      <c r="K29" s="61">
        <f>((K26)+(K27))+(K28)</f>
        <v>0</v>
      </c>
      <c r="L29" s="61">
        <f t="shared" si="31"/>
        <v>33253.67</v>
      </c>
      <c r="M29" s="62" t="str">
        <f t="shared" si="32"/>
        <v/>
      </c>
      <c r="N29" s="61">
        <f>((N26)+(N27))+(N28)</f>
        <v>33294.129999999997</v>
      </c>
      <c r="O29" s="61">
        <f>((O26)+(O27))+(O28)</f>
        <v>0</v>
      </c>
      <c r="P29" s="61">
        <f t="shared" si="33"/>
        <v>33294.129999999997</v>
      </c>
      <c r="Q29" s="62" t="str">
        <f t="shared" si="34"/>
        <v/>
      </c>
      <c r="R29" s="61">
        <f>((R26)+(R27))+(R28)</f>
        <v>34388.92</v>
      </c>
      <c r="S29" s="61">
        <f>((S26)+(S27))+(S28)</f>
        <v>0</v>
      </c>
      <c r="T29" s="61">
        <f t="shared" si="35"/>
        <v>34388.92</v>
      </c>
      <c r="U29" s="62" t="str">
        <f t="shared" si="36"/>
        <v/>
      </c>
      <c r="V29" s="61">
        <f>((V26)+(V27))+(V28)</f>
        <v>33909.25</v>
      </c>
      <c r="W29" s="61">
        <f>((W26)+(W27))+(W28)</f>
        <v>0</v>
      </c>
      <c r="X29" s="61">
        <f t="shared" si="37"/>
        <v>33909.25</v>
      </c>
      <c r="Y29" s="62" t="str">
        <f t="shared" si="38"/>
        <v/>
      </c>
      <c r="Z29" s="61">
        <f>((Z26)+(Z27))+(Z28)</f>
        <v>48356.05</v>
      </c>
      <c r="AA29" s="61">
        <f>((AA26)+(AA27))+(AA28)</f>
        <v>0</v>
      </c>
      <c r="AB29" s="61">
        <f t="shared" si="39"/>
        <v>48356.05</v>
      </c>
      <c r="AC29" s="62" t="str">
        <f t="shared" si="40"/>
        <v/>
      </c>
      <c r="AD29" s="61">
        <f>((AD26)+(AD27))+(AD28)</f>
        <v>33600.400000000001</v>
      </c>
      <c r="AE29" s="61">
        <f>((AE26)+(AE27))+(AE28)</f>
        <v>0</v>
      </c>
      <c r="AF29" s="61">
        <f t="shared" si="41"/>
        <v>33600.400000000001</v>
      </c>
      <c r="AG29" s="62" t="str">
        <f t="shared" si="42"/>
        <v/>
      </c>
      <c r="AH29" s="61">
        <f>((AH26)+(AH27))+(AH28)</f>
        <v>34241.68</v>
      </c>
      <c r="AI29" s="61">
        <f>((AI26)+(AI27))+(AI28)</f>
        <v>0</v>
      </c>
      <c r="AJ29" s="61">
        <f t="shared" si="43"/>
        <v>34241.68</v>
      </c>
      <c r="AK29" s="62" t="str">
        <f t="shared" si="44"/>
        <v/>
      </c>
      <c r="AL29" s="61">
        <f>((AL26)+(AL27))+(AL28)</f>
        <v>33151.15</v>
      </c>
      <c r="AM29" s="61">
        <f>((AM26)+(AM27))+(AM28)</f>
        <v>0</v>
      </c>
      <c r="AN29" s="61">
        <f t="shared" si="45"/>
        <v>33151.15</v>
      </c>
      <c r="AO29" s="62" t="str">
        <f t="shared" si="46"/>
        <v/>
      </c>
      <c r="AP29" s="61">
        <f>((AP26)+(AP27))+(AP28)</f>
        <v>33778.160000000003</v>
      </c>
      <c r="AQ29" s="61">
        <f>((AQ26)+(AQ27))+(AQ28)</f>
        <v>0</v>
      </c>
      <c r="AR29" s="61">
        <f t="shared" si="47"/>
        <v>33778.160000000003</v>
      </c>
      <c r="AS29" s="62" t="str">
        <f t="shared" si="48"/>
        <v/>
      </c>
      <c r="AT29" s="61">
        <f>((AT26)+(AT27))+(AT28)</f>
        <v>50926.490000000005</v>
      </c>
      <c r="AU29" s="61">
        <f>((AU26)+(AU27))+(AU28)</f>
        <v>0</v>
      </c>
      <c r="AV29" s="61">
        <f t="shared" si="49"/>
        <v>50926.490000000005</v>
      </c>
      <c r="AW29" s="62" t="str">
        <f t="shared" si="50"/>
        <v/>
      </c>
      <c r="AX29" s="61">
        <f t="shared" si="51"/>
        <v>434462.12</v>
      </c>
      <c r="AY29" s="61">
        <f t="shared" si="51"/>
        <v>0</v>
      </c>
      <c r="AZ29" s="61">
        <f t="shared" si="52"/>
        <v>434462.12</v>
      </c>
      <c r="BA29" s="62" t="str">
        <f t="shared" si="53"/>
        <v/>
      </c>
    </row>
    <row r="30" spans="1:53" x14ac:dyDescent="0.3">
      <c r="A30" s="57" t="s">
        <v>109</v>
      </c>
      <c r="B30" s="59">
        <f>0.05</f>
        <v>0.05</v>
      </c>
      <c r="C30" s="58"/>
      <c r="D30" s="59">
        <f t="shared" si="27"/>
        <v>0.05</v>
      </c>
      <c r="E30" s="60" t="str">
        <f t="shared" si="28"/>
        <v/>
      </c>
      <c r="F30" s="58"/>
      <c r="G30" s="58"/>
      <c r="H30" s="59">
        <f t="shared" si="29"/>
        <v>0</v>
      </c>
      <c r="I30" s="60" t="str">
        <f t="shared" si="30"/>
        <v/>
      </c>
      <c r="J30" s="58"/>
      <c r="K30" s="58"/>
      <c r="L30" s="59">
        <f t="shared" si="31"/>
        <v>0</v>
      </c>
      <c r="M30" s="60" t="str">
        <f t="shared" si="32"/>
        <v/>
      </c>
      <c r="N30" s="58"/>
      <c r="O30" s="58"/>
      <c r="P30" s="59">
        <f t="shared" si="33"/>
        <v>0</v>
      </c>
      <c r="Q30" s="60" t="str">
        <f t="shared" si="34"/>
        <v/>
      </c>
      <c r="R30" s="58"/>
      <c r="S30" s="58"/>
      <c r="T30" s="59">
        <f t="shared" si="35"/>
        <v>0</v>
      </c>
      <c r="U30" s="60" t="str">
        <f t="shared" si="36"/>
        <v/>
      </c>
      <c r="V30" s="58"/>
      <c r="W30" s="58"/>
      <c r="X30" s="59">
        <f t="shared" si="37"/>
        <v>0</v>
      </c>
      <c r="Y30" s="60" t="str">
        <f t="shared" si="38"/>
        <v/>
      </c>
      <c r="Z30" s="59">
        <f>188.13</f>
        <v>188.13</v>
      </c>
      <c r="AA30" s="58"/>
      <c r="AB30" s="59">
        <f t="shared" si="39"/>
        <v>188.13</v>
      </c>
      <c r="AC30" s="60" t="str">
        <f t="shared" si="40"/>
        <v/>
      </c>
      <c r="AD30" s="58"/>
      <c r="AE30" s="58"/>
      <c r="AF30" s="59">
        <f t="shared" si="41"/>
        <v>0</v>
      </c>
      <c r="AG30" s="60" t="str">
        <f t="shared" si="42"/>
        <v/>
      </c>
      <c r="AH30" s="59">
        <f>19.09</f>
        <v>19.09</v>
      </c>
      <c r="AI30" s="58"/>
      <c r="AJ30" s="59">
        <f t="shared" si="43"/>
        <v>19.09</v>
      </c>
      <c r="AK30" s="60" t="str">
        <f t="shared" si="44"/>
        <v/>
      </c>
      <c r="AL30" s="59">
        <f>37.5</f>
        <v>37.5</v>
      </c>
      <c r="AM30" s="58"/>
      <c r="AN30" s="59">
        <f t="shared" si="45"/>
        <v>37.5</v>
      </c>
      <c r="AO30" s="60" t="str">
        <f t="shared" si="46"/>
        <v/>
      </c>
      <c r="AP30" s="58"/>
      <c r="AQ30" s="58"/>
      <c r="AR30" s="59">
        <f t="shared" si="47"/>
        <v>0</v>
      </c>
      <c r="AS30" s="60" t="str">
        <f t="shared" si="48"/>
        <v/>
      </c>
      <c r="AT30" s="59">
        <f>298.6</f>
        <v>298.60000000000002</v>
      </c>
      <c r="AU30" s="58"/>
      <c r="AV30" s="59">
        <f t="shared" si="49"/>
        <v>298.60000000000002</v>
      </c>
      <c r="AW30" s="60" t="str">
        <f t="shared" si="50"/>
        <v/>
      </c>
      <c r="AX30" s="59">
        <f t="shared" si="51"/>
        <v>543.37</v>
      </c>
      <c r="AY30" s="59">
        <f t="shared" si="51"/>
        <v>0</v>
      </c>
      <c r="AZ30" s="59">
        <f t="shared" si="52"/>
        <v>543.37</v>
      </c>
      <c r="BA30" s="60" t="str">
        <f t="shared" si="53"/>
        <v/>
      </c>
    </row>
    <row r="31" spans="1:53" x14ac:dyDescent="0.3">
      <c r="A31" s="57" t="s">
        <v>110</v>
      </c>
      <c r="B31" s="59">
        <f>248</f>
        <v>248</v>
      </c>
      <c r="C31" s="58"/>
      <c r="D31" s="59">
        <f t="shared" si="27"/>
        <v>248</v>
      </c>
      <c r="E31" s="60" t="str">
        <f t="shared" si="28"/>
        <v/>
      </c>
      <c r="F31" s="59">
        <f>198</f>
        <v>198</v>
      </c>
      <c r="G31" s="58"/>
      <c r="H31" s="59">
        <f t="shared" si="29"/>
        <v>198</v>
      </c>
      <c r="I31" s="60" t="str">
        <f t="shared" si="30"/>
        <v/>
      </c>
      <c r="J31" s="59">
        <f>198</f>
        <v>198</v>
      </c>
      <c r="K31" s="58"/>
      <c r="L31" s="59">
        <f t="shared" si="31"/>
        <v>198</v>
      </c>
      <c r="M31" s="60" t="str">
        <f t="shared" si="32"/>
        <v/>
      </c>
      <c r="N31" s="59">
        <f>198</f>
        <v>198</v>
      </c>
      <c r="O31" s="58"/>
      <c r="P31" s="59">
        <f t="shared" si="33"/>
        <v>198</v>
      </c>
      <c r="Q31" s="60" t="str">
        <f t="shared" si="34"/>
        <v/>
      </c>
      <c r="R31" s="59">
        <f>4173</f>
        <v>4173</v>
      </c>
      <c r="S31" s="58"/>
      <c r="T31" s="59">
        <f t="shared" si="35"/>
        <v>4173</v>
      </c>
      <c r="U31" s="60" t="str">
        <f t="shared" si="36"/>
        <v/>
      </c>
      <c r="V31" s="59">
        <f>3948</f>
        <v>3948</v>
      </c>
      <c r="W31" s="58"/>
      <c r="X31" s="59">
        <f t="shared" si="37"/>
        <v>3948</v>
      </c>
      <c r="Y31" s="60" t="str">
        <f t="shared" si="38"/>
        <v/>
      </c>
      <c r="Z31" s="59">
        <f>198</f>
        <v>198</v>
      </c>
      <c r="AA31" s="58"/>
      <c r="AB31" s="59">
        <f t="shared" si="39"/>
        <v>198</v>
      </c>
      <c r="AC31" s="60" t="str">
        <f t="shared" si="40"/>
        <v/>
      </c>
      <c r="AD31" s="59">
        <f>186</f>
        <v>186</v>
      </c>
      <c r="AE31" s="58"/>
      <c r="AF31" s="59">
        <f t="shared" si="41"/>
        <v>186</v>
      </c>
      <c r="AG31" s="60" t="str">
        <f t="shared" si="42"/>
        <v/>
      </c>
      <c r="AH31" s="59">
        <f>198</f>
        <v>198</v>
      </c>
      <c r="AI31" s="58"/>
      <c r="AJ31" s="59">
        <f t="shared" si="43"/>
        <v>198</v>
      </c>
      <c r="AK31" s="60" t="str">
        <f t="shared" si="44"/>
        <v/>
      </c>
      <c r="AL31" s="59">
        <f>198</f>
        <v>198</v>
      </c>
      <c r="AM31" s="58"/>
      <c r="AN31" s="59">
        <f t="shared" si="45"/>
        <v>198</v>
      </c>
      <c r="AO31" s="60" t="str">
        <f t="shared" si="46"/>
        <v/>
      </c>
      <c r="AP31" s="59">
        <f>273</f>
        <v>273</v>
      </c>
      <c r="AQ31" s="58"/>
      <c r="AR31" s="59">
        <f t="shared" si="47"/>
        <v>273</v>
      </c>
      <c r="AS31" s="60" t="str">
        <f t="shared" si="48"/>
        <v/>
      </c>
      <c r="AT31" s="59">
        <f>198</f>
        <v>198</v>
      </c>
      <c r="AU31" s="58"/>
      <c r="AV31" s="59">
        <f t="shared" si="49"/>
        <v>198</v>
      </c>
      <c r="AW31" s="60" t="str">
        <f t="shared" si="50"/>
        <v/>
      </c>
      <c r="AX31" s="59">
        <f t="shared" si="51"/>
        <v>10214</v>
      </c>
      <c r="AY31" s="59">
        <v>12000</v>
      </c>
      <c r="AZ31" s="59">
        <f t="shared" si="52"/>
        <v>-1786</v>
      </c>
      <c r="BA31" s="60">
        <f t="shared" si="53"/>
        <v>0.85116666666666663</v>
      </c>
    </row>
    <row r="32" spans="1:53" x14ac:dyDescent="0.3">
      <c r="A32" s="57" t="s">
        <v>111</v>
      </c>
      <c r="B32" s="58"/>
      <c r="C32" s="58"/>
      <c r="D32" s="59">
        <f t="shared" si="27"/>
        <v>0</v>
      </c>
      <c r="E32" s="60" t="str">
        <f t="shared" si="28"/>
        <v/>
      </c>
      <c r="F32" s="58"/>
      <c r="G32" s="58"/>
      <c r="H32" s="59">
        <f t="shared" si="29"/>
        <v>0</v>
      </c>
      <c r="I32" s="60" t="str">
        <f t="shared" si="30"/>
        <v/>
      </c>
      <c r="J32" s="59">
        <f>850</f>
        <v>850</v>
      </c>
      <c r="K32" s="58"/>
      <c r="L32" s="59">
        <f t="shared" si="31"/>
        <v>850</v>
      </c>
      <c r="M32" s="60" t="str">
        <f t="shared" si="32"/>
        <v/>
      </c>
      <c r="N32" s="59">
        <f>248.14</f>
        <v>248.14</v>
      </c>
      <c r="O32" s="58"/>
      <c r="P32" s="59">
        <f t="shared" si="33"/>
        <v>248.14</v>
      </c>
      <c r="Q32" s="60" t="str">
        <f t="shared" si="34"/>
        <v/>
      </c>
      <c r="R32" s="58"/>
      <c r="S32" s="58"/>
      <c r="T32" s="59">
        <f t="shared" si="35"/>
        <v>0</v>
      </c>
      <c r="U32" s="60" t="str">
        <f t="shared" si="36"/>
        <v/>
      </c>
      <c r="V32" s="59">
        <f>327.41</f>
        <v>327.41000000000003</v>
      </c>
      <c r="W32" s="58"/>
      <c r="X32" s="59">
        <f t="shared" si="37"/>
        <v>327.41000000000003</v>
      </c>
      <c r="Y32" s="60" t="str">
        <f t="shared" si="38"/>
        <v/>
      </c>
      <c r="Z32" s="59">
        <f>150</f>
        <v>150</v>
      </c>
      <c r="AA32" s="58"/>
      <c r="AB32" s="59">
        <f t="shared" si="39"/>
        <v>150</v>
      </c>
      <c r="AC32" s="60" t="str">
        <f t="shared" si="40"/>
        <v/>
      </c>
      <c r="AD32" s="58"/>
      <c r="AE32" s="58"/>
      <c r="AF32" s="59">
        <f t="shared" si="41"/>
        <v>0</v>
      </c>
      <c r="AG32" s="60" t="str">
        <f t="shared" si="42"/>
        <v/>
      </c>
      <c r="AH32" s="59">
        <f>949.51</f>
        <v>949.51</v>
      </c>
      <c r="AI32" s="58"/>
      <c r="AJ32" s="59">
        <f t="shared" si="43"/>
        <v>949.51</v>
      </c>
      <c r="AK32" s="60" t="str">
        <f t="shared" si="44"/>
        <v/>
      </c>
      <c r="AL32" s="58"/>
      <c r="AM32" s="58"/>
      <c r="AN32" s="59">
        <f t="shared" si="45"/>
        <v>0</v>
      </c>
      <c r="AO32" s="60" t="str">
        <f t="shared" si="46"/>
        <v/>
      </c>
      <c r="AP32" s="59">
        <f>201.33</f>
        <v>201.33</v>
      </c>
      <c r="AQ32" s="58"/>
      <c r="AR32" s="59">
        <f t="shared" si="47"/>
        <v>201.33</v>
      </c>
      <c r="AS32" s="60" t="str">
        <f t="shared" si="48"/>
        <v/>
      </c>
      <c r="AT32" s="59">
        <f>278.76</f>
        <v>278.76</v>
      </c>
      <c r="AU32" s="58"/>
      <c r="AV32" s="59">
        <f t="shared" si="49"/>
        <v>278.76</v>
      </c>
      <c r="AW32" s="60" t="str">
        <f t="shared" si="50"/>
        <v/>
      </c>
      <c r="AX32" s="59">
        <f t="shared" si="51"/>
        <v>3005.1499999999996</v>
      </c>
      <c r="AY32" s="59">
        <v>12000</v>
      </c>
      <c r="AZ32" s="59">
        <f t="shared" si="52"/>
        <v>-8994.85</v>
      </c>
      <c r="BA32" s="60">
        <f t="shared" si="53"/>
        <v>0.25042916666666665</v>
      </c>
    </row>
    <row r="33" spans="1:53" x14ac:dyDescent="0.3">
      <c r="A33" s="57" t="s">
        <v>112</v>
      </c>
      <c r="B33" s="59">
        <f>6</f>
        <v>6</v>
      </c>
      <c r="C33" s="58"/>
      <c r="D33" s="59">
        <f t="shared" si="27"/>
        <v>6</v>
      </c>
      <c r="E33" s="60" t="str">
        <f t="shared" si="28"/>
        <v/>
      </c>
      <c r="F33" s="58"/>
      <c r="G33" s="58"/>
      <c r="H33" s="59">
        <f t="shared" si="29"/>
        <v>0</v>
      </c>
      <c r="I33" s="60" t="str">
        <f t="shared" si="30"/>
        <v/>
      </c>
      <c r="J33" s="58"/>
      <c r="K33" s="58"/>
      <c r="L33" s="59">
        <f t="shared" si="31"/>
        <v>0</v>
      </c>
      <c r="M33" s="60" t="str">
        <f t="shared" si="32"/>
        <v/>
      </c>
      <c r="N33" s="59">
        <f>78</f>
        <v>78</v>
      </c>
      <c r="O33" s="58"/>
      <c r="P33" s="59">
        <f t="shared" si="33"/>
        <v>78</v>
      </c>
      <c r="Q33" s="60" t="str">
        <f t="shared" si="34"/>
        <v/>
      </c>
      <c r="R33" s="58"/>
      <c r="S33" s="58"/>
      <c r="T33" s="59">
        <f t="shared" si="35"/>
        <v>0</v>
      </c>
      <c r="U33" s="60" t="str">
        <f t="shared" si="36"/>
        <v/>
      </c>
      <c r="V33" s="59">
        <f>294</f>
        <v>294</v>
      </c>
      <c r="W33" s="58"/>
      <c r="X33" s="59">
        <f t="shared" si="37"/>
        <v>294</v>
      </c>
      <c r="Y33" s="60" t="str">
        <f t="shared" si="38"/>
        <v/>
      </c>
      <c r="Z33" s="59">
        <f>616</f>
        <v>616</v>
      </c>
      <c r="AA33" s="58"/>
      <c r="AB33" s="59">
        <f t="shared" si="39"/>
        <v>616</v>
      </c>
      <c r="AC33" s="60" t="str">
        <f t="shared" si="40"/>
        <v/>
      </c>
      <c r="AD33" s="58"/>
      <c r="AE33" s="58"/>
      <c r="AF33" s="59">
        <f t="shared" si="41"/>
        <v>0</v>
      </c>
      <c r="AG33" s="60" t="str">
        <f t="shared" si="42"/>
        <v/>
      </c>
      <c r="AH33" s="59">
        <f>115.5</f>
        <v>115.5</v>
      </c>
      <c r="AI33" s="58"/>
      <c r="AJ33" s="59">
        <f t="shared" si="43"/>
        <v>115.5</v>
      </c>
      <c r="AK33" s="60" t="str">
        <f t="shared" si="44"/>
        <v/>
      </c>
      <c r="AL33" s="58"/>
      <c r="AM33" s="58"/>
      <c r="AN33" s="59">
        <f t="shared" si="45"/>
        <v>0</v>
      </c>
      <c r="AO33" s="60" t="str">
        <f t="shared" si="46"/>
        <v/>
      </c>
      <c r="AP33" s="59">
        <f>847</f>
        <v>847</v>
      </c>
      <c r="AQ33" s="58"/>
      <c r="AR33" s="59">
        <f t="shared" si="47"/>
        <v>847</v>
      </c>
      <c r="AS33" s="60" t="str">
        <f t="shared" si="48"/>
        <v/>
      </c>
      <c r="AT33" s="58"/>
      <c r="AU33" s="58"/>
      <c r="AV33" s="59">
        <f t="shared" si="49"/>
        <v>0</v>
      </c>
      <c r="AW33" s="60" t="str">
        <f t="shared" si="50"/>
        <v/>
      </c>
      <c r="AX33" s="59">
        <f t="shared" si="51"/>
        <v>1956.5</v>
      </c>
      <c r="AY33" s="59">
        <v>15000</v>
      </c>
      <c r="AZ33" s="59">
        <f t="shared" si="52"/>
        <v>-13043.5</v>
      </c>
      <c r="BA33" s="60">
        <f t="shared" si="53"/>
        <v>0.13043333333333335</v>
      </c>
    </row>
    <row r="34" spans="1:53" x14ac:dyDescent="0.3">
      <c r="A34" s="57" t="s">
        <v>113</v>
      </c>
      <c r="B34" s="58"/>
      <c r="C34" s="58"/>
      <c r="D34" s="59">
        <f t="shared" si="27"/>
        <v>0</v>
      </c>
      <c r="E34" s="60" t="str">
        <f t="shared" si="28"/>
        <v/>
      </c>
      <c r="F34" s="58"/>
      <c r="G34" s="58"/>
      <c r="H34" s="59">
        <f t="shared" si="29"/>
        <v>0</v>
      </c>
      <c r="I34" s="60" t="str">
        <f t="shared" si="30"/>
        <v/>
      </c>
      <c r="J34" s="58"/>
      <c r="K34" s="58"/>
      <c r="L34" s="59">
        <f t="shared" si="31"/>
        <v>0</v>
      </c>
      <c r="M34" s="60" t="str">
        <f t="shared" si="32"/>
        <v/>
      </c>
      <c r="N34" s="58"/>
      <c r="O34" s="58"/>
      <c r="P34" s="59">
        <f t="shared" si="33"/>
        <v>0</v>
      </c>
      <c r="Q34" s="60" t="str">
        <f t="shared" si="34"/>
        <v/>
      </c>
      <c r="R34" s="58"/>
      <c r="S34" s="58"/>
      <c r="T34" s="59">
        <f t="shared" si="35"/>
        <v>0</v>
      </c>
      <c r="U34" s="60" t="str">
        <f t="shared" si="36"/>
        <v/>
      </c>
      <c r="V34" s="58"/>
      <c r="W34" s="58"/>
      <c r="X34" s="59">
        <f t="shared" si="37"/>
        <v>0</v>
      </c>
      <c r="Y34" s="60" t="str">
        <f t="shared" si="38"/>
        <v/>
      </c>
      <c r="Z34" s="58"/>
      <c r="AA34" s="58"/>
      <c r="AB34" s="59">
        <f t="shared" si="39"/>
        <v>0</v>
      </c>
      <c r="AC34" s="60" t="str">
        <f t="shared" si="40"/>
        <v/>
      </c>
      <c r="AD34" s="58"/>
      <c r="AE34" s="58"/>
      <c r="AF34" s="59">
        <f t="shared" si="41"/>
        <v>0</v>
      </c>
      <c r="AG34" s="60" t="str">
        <f t="shared" si="42"/>
        <v/>
      </c>
      <c r="AH34" s="58"/>
      <c r="AI34" s="58"/>
      <c r="AJ34" s="59">
        <f t="shared" si="43"/>
        <v>0</v>
      </c>
      <c r="AK34" s="60" t="str">
        <f t="shared" si="44"/>
        <v/>
      </c>
      <c r="AL34" s="58"/>
      <c r="AM34" s="58"/>
      <c r="AN34" s="59">
        <f t="shared" si="45"/>
        <v>0</v>
      </c>
      <c r="AO34" s="60" t="str">
        <f t="shared" si="46"/>
        <v/>
      </c>
      <c r="AP34" s="58"/>
      <c r="AQ34" s="58"/>
      <c r="AR34" s="59">
        <f t="shared" si="47"/>
        <v>0</v>
      </c>
      <c r="AS34" s="60" t="str">
        <f t="shared" si="48"/>
        <v/>
      </c>
      <c r="AT34" s="58"/>
      <c r="AU34" s="58"/>
      <c r="AV34" s="59">
        <f t="shared" si="49"/>
        <v>0</v>
      </c>
      <c r="AW34" s="60" t="str">
        <f t="shared" si="50"/>
        <v/>
      </c>
      <c r="AX34" s="59">
        <f t="shared" si="51"/>
        <v>0</v>
      </c>
      <c r="AY34" s="59">
        <f t="shared" si="51"/>
        <v>0</v>
      </c>
      <c r="AZ34" s="59">
        <f t="shared" si="52"/>
        <v>0</v>
      </c>
      <c r="BA34" s="60" t="str">
        <f t="shared" si="53"/>
        <v/>
      </c>
    </row>
    <row r="35" spans="1:53" x14ac:dyDescent="0.3">
      <c r="A35" s="57" t="s">
        <v>114</v>
      </c>
      <c r="B35" s="58"/>
      <c r="C35" s="58"/>
      <c r="D35" s="59">
        <f t="shared" si="27"/>
        <v>0</v>
      </c>
      <c r="E35" s="60" t="str">
        <f t="shared" si="28"/>
        <v/>
      </c>
      <c r="F35" s="58"/>
      <c r="G35" s="58"/>
      <c r="H35" s="59">
        <f t="shared" si="29"/>
        <v>0</v>
      </c>
      <c r="I35" s="60" t="str">
        <f t="shared" si="30"/>
        <v/>
      </c>
      <c r="J35" s="58"/>
      <c r="K35" s="58"/>
      <c r="L35" s="59">
        <f t="shared" si="31"/>
        <v>0</v>
      </c>
      <c r="M35" s="60" t="str">
        <f t="shared" si="32"/>
        <v/>
      </c>
      <c r="N35" s="58"/>
      <c r="O35" s="58"/>
      <c r="P35" s="59">
        <f t="shared" si="33"/>
        <v>0</v>
      </c>
      <c r="Q35" s="60" t="str">
        <f t="shared" si="34"/>
        <v/>
      </c>
      <c r="R35" s="58"/>
      <c r="S35" s="58"/>
      <c r="T35" s="59">
        <f t="shared" si="35"/>
        <v>0</v>
      </c>
      <c r="U35" s="60" t="str">
        <f t="shared" si="36"/>
        <v/>
      </c>
      <c r="V35" s="58"/>
      <c r="W35" s="58"/>
      <c r="X35" s="59">
        <f t="shared" si="37"/>
        <v>0</v>
      </c>
      <c r="Y35" s="60" t="str">
        <f t="shared" si="38"/>
        <v/>
      </c>
      <c r="Z35" s="58"/>
      <c r="AA35" s="58"/>
      <c r="AB35" s="59">
        <f t="shared" si="39"/>
        <v>0</v>
      </c>
      <c r="AC35" s="60" t="str">
        <f t="shared" si="40"/>
        <v/>
      </c>
      <c r="AD35" s="58"/>
      <c r="AE35" s="58"/>
      <c r="AF35" s="59">
        <f t="shared" si="41"/>
        <v>0</v>
      </c>
      <c r="AG35" s="60" t="str">
        <f t="shared" si="42"/>
        <v/>
      </c>
      <c r="AH35" s="58"/>
      <c r="AI35" s="58"/>
      <c r="AJ35" s="59">
        <f t="shared" si="43"/>
        <v>0</v>
      </c>
      <c r="AK35" s="60" t="str">
        <f t="shared" si="44"/>
        <v/>
      </c>
      <c r="AL35" s="58"/>
      <c r="AM35" s="58"/>
      <c r="AN35" s="59">
        <f t="shared" si="45"/>
        <v>0</v>
      </c>
      <c r="AO35" s="60" t="str">
        <f t="shared" si="46"/>
        <v/>
      </c>
      <c r="AP35" s="58"/>
      <c r="AQ35" s="58"/>
      <c r="AR35" s="59">
        <f t="shared" si="47"/>
        <v>0</v>
      </c>
      <c r="AS35" s="60" t="str">
        <f t="shared" si="48"/>
        <v/>
      </c>
      <c r="AT35" s="58"/>
      <c r="AU35" s="58"/>
      <c r="AV35" s="59">
        <f t="shared" si="49"/>
        <v>0</v>
      </c>
      <c r="AW35" s="60" t="str">
        <f t="shared" si="50"/>
        <v/>
      </c>
      <c r="AX35" s="59">
        <f t="shared" si="51"/>
        <v>0</v>
      </c>
      <c r="AY35" s="59">
        <f t="shared" si="51"/>
        <v>0</v>
      </c>
      <c r="AZ35" s="59">
        <f t="shared" si="52"/>
        <v>0</v>
      </c>
      <c r="BA35" s="60" t="str">
        <f t="shared" si="53"/>
        <v/>
      </c>
    </row>
    <row r="36" spans="1:53" x14ac:dyDescent="0.3">
      <c r="A36" s="57" t="s">
        <v>115</v>
      </c>
      <c r="B36" s="59">
        <f>363.41</f>
        <v>363.41</v>
      </c>
      <c r="C36" s="58"/>
      <c r="D36" s="59">
        <f t="shared" si="27"/>
        <v>363.41</v>
      </c>
      <c r="E36" s="60" t="str">
        <f t="shared" si="28"/>
        <v/>
      </c>
      <c r="F36" s="59">
        <f>530.89</f>
        <v>530.89</v>
      </c>
      <c r="G36" s="58"/>
      <c r="H36" s="59">
        <f t="shared" si="29"/>
        <v>530.89</v>
      </c>
      <c r="I36" s="60" t="str">
        <f t="shared" si="30"/>
        <v/>
      </c>
      <c r="J36" s="59">
        <f>231.95</f>
        <v>231.95</v>
      </c>
      <c r="K36" s="58"/>
      <c r="L36" s="59">
        <f t="shared" si="31"/>
        <v>231.95</v>
      </c>
      <c r="M36" s="60" t="str">
        <f t="shared" si="32"/>
        <v/>
      </c>
      <c r="N36" s="59">
        <f>359.31</f>
        <v>359.31</v>
      </c>
      <c r="O36" s="58"/>
      <c r="P36" s="59">
        <f t="shared" si="33"/>
        <v>359.31</v>
      </c>
      <c r="Q36" s="60" t="str">
        <f t="shared" si="34"/>
        <v/>
      </c>
      <c r="R36" s="59">
        <f>386.17</f>
        <v>386.17</v>
      </c>
      <c r="S36" s="58"/>
      <c r="T36" s="59">
        <f t="shared" si="35"/>
        <v>386.17</v>
      </c>
      <c r="U36" s="60" t="str">
        <f t="shared" si="36"/>
        <v/>
      </c>
      <c r="V36" s="59">
        <f>499.9</f>
        <v>499.9</v>
      </c>
      <c r="W36" s="58"/>
      <c r="X36" s="59">
        <f t="shared" si="37"/>
        <v>499.9</v>
      </c>
      <c r="Y36" s="60" t="str">
        <f t="shared" si="38"/>
        <v/>
      </c>
      <c r="Z36" s="59">
        <f>344.92</f>
        <v>344.92</v>
      </c>
      <c r="AA36" s="58"/>
      <c r="AB36" s="59">
        <f t="shared" si="39"/>
        <v>344.92</v>
      </c>
      <c r="AC36" s="60" t="str">
        <f t="shared" si="40"/>
        <v/>
      </c>
      <c r="AD36" s="59">
        <f>352.92</f>
        <v>352.92</v>
      </c>
      <c r="AE36" s="58"/>
      <c r="AF36" s="59">
        <f t="shared" si="41"/>
        <v>352.92</v>
      </c>
      <c r="AG36" s="60" t="str">
        <f t="shared" si="42"/>
        <v/>
      </c>
      <c r="AH36" s="59">
        <f>399.65</f>
        <v>399.65</v>
      </c>
      <c r="AI36" s="58"/>
      <c r="AJ36" s="59">
        <f t="shared" si="43"/>
        <v>399.65</v>
      </c>
      <c r="AK36" s="60" t="str">
        <f t="shared" si="44"/>
        <v/>
      </c>
      <c r="AL36" s="59">
        <f>316.93</f>
        <v>316.93</v>
      </c>
      <c r="AM36" s="58"/>
      <c r="AN36" s="59">
        <f t="shared" si="45"/>
        <v>316.93</v>
      </c>
      <c r="AO36" s="60" t="str">
        <f t="shared" si="46"/>
        <v/>
      </c>
      <c r="AP36" s="59">
        <f>498.89</f>
        <v>498.89</v>
      </c>
      <c r="AQ36" s="58"/>
      <c r="AR36" s="59">
        <f t="shared" si="47"/>
        <v>498.89</v>
      </c>
      <c r="AS36" s="60" t="str">
        <f t="shared" si="48"/>
        <v/>
      </c>
      <c r="AT36" s="59">
        <f>358.92</f>
        <v>358.92</v>
      </c>
      <c r="AU36" s="58"/>
      <c r="AV36" s="59">
        <f t="shared" si="49"/>
        <v>358.92</v>
      </c>
      <c r="AW36" s="60" t="str">
        <f t="shared" si="50"/>
        <v/>
      </c>
      <c r="AX36" s="59">
        <f t="shared" si="51"/>
        <v>4643.8600000000006</v>
      </c>
      <c r="AY36" s="59">
        <v>5000</v>
      </c>
      <c r="AZ36" s="59">
        <f t="shared" si="52"/>
        <v>-356.13999999999942</v>
      </c>
      <c r="BA36" s="60">
        <f t="shared" si="53"/>
        <v>0.92877200000000015</v>
      </c>
    </row>
    <row r="37" spans="1:53" x14ac:dyDescent="0.3">
      <c r="A37" s="57" t="s">
        <v>116</v>
      </c>
      <c r="B37" s="59">
        <f>216.95</f>
        <v>216.95</v>
      </c>
      <c r="C37" s="58"/>
      <c r="D37" s="59">
        <f t="shared" si="27"/>
        <v>216.95</v>
      </c>
      <c r="E37" s="60" t="str">
        <f t="shared" si="28"/>
        <v/>
      </c>
      <c r="F37" s="58"/>
      <c r="G37" s="58"/>
      <c r="H37" s="59">
        <f t="shared" si="29"/>
        <v>0</v>
      </c>
      <c r="I37" s="60" t="str">
        <f t="shared" si="30"/>
        <v/>
      </c>
      <c r="J37" s="58"/>
      <c r="K37" s="58"/>
      <c r="L37" s="59">
        <f t="shared" si="31"/>
        <v>0</v>
      </c>
      <c r="M37" s="60" t="str">
        <f t="shared" si="32"/>
        <v/>
      </c>
      <c r="N37" s="58"/>
      <c r="O37" s="58"/>
      <c r="P37" s="59">
        <f t="shared" si="33"/>
        <v>0</v>
      </c>
      <c r="Q37" s="60" t="str">
        <f t="shared" si="34"/>
        <v/>
      </c>
      <c r="R37" s="58"/>
      <c r="S37" s="58"/>
      <c r="T37" s="59">
        <f t="shared" si="35"/>
        <v>0</v>
      </c>
      <c r="U37" s="60" t="str">
        <f t="shared" si="36"/>
        <v/>
      </c>
      <c r="V37" s="58"/>
      <c r="W37" s="58"/>
      <c r="X37" s="59">
        <f t="shared" si="37"/>
        <v>0</v>
      </c>
      <c r="Y37" s="60" t="str">
        <f t="shared" si="38"/>
        <v/>
      </c>
      <c r="Z37" s="58"/>
      <c r="AA37" s="58"/>
      <c r="AB37" s="59">
        <f t="shared" si="39"/>
        <v>0</v>
      </c>
      <c r="AC37" s="60" t="str">
        <f t="shared" si="40"/>
        <v/>
      </c>
      <c r="AD37" s="59">
        <f>137.58</f>
        <v>137.58000000000001</v>
      </c>
      <c r="AE37" s="58"/>
      <c r="AF37" s="59">
        <f t="shared" si="41"/>
        <v>137.58000000000001</v>
      </c>
      <c r="AG37" s="60" t="str">
        <f t="shared" si="42"/>
        <v/>
      </c>
      <c r="AH37" s="59">
        <f>467.13</f>
        <v>467.13</v>
      </c>
      <c r="AI37" s="58"/>
      <c r="AJ37" s="59">
        <f t="shared" si="43"/>
        <v>467.13</v>
      </c>
      <c r="AK37" s="60" t="str">
        <f t="shared" si="44"/>
        <v/>
      </c>
      <c r="AL37" s="58"/>
      <c r="AM37" s="58"/>
      <c r="AN37" s="59">
        <f t="shared" si="45"/>
        <v>0</v>
      </c>
      <c r="AO37" s="60" t="str">
        <f t="shared" si="46"/>
        <v/>
      </c>
      <c r="AP37" s="59">
        <f>274.34</f>
        <v>274.33999999999997</v>
      </c>
      <c r="AQ37" s="58"/>
      <c r="AR37" s="59">
        <f t="shared" si="47"/>
        <v>274.33999999999997</v>
      </c>
      <c r="AS37" s="60" t="str">
        <f t="shared" si="48"/>
        <v/>
      </c>
      <c r="AT37" s="59">
        <f>14.99</f>
        <v>14.99</v>
      </c>
      <c r="AU37" s="58"/>
      <c r="AV37" s="59">
        <f t="shared" si="49"/>
        <v>14.99</v>
      </c>
      <c r="AW37" s="60" t="str">
        <f t="shared" si="50"/>
        <v/>
      </c>
      <c r="AX37" s="59">
        <f t="shared" si="51"/>
        <v>1110.99</v>
      </c>
      <c r="AY37" s="59">
        <v>1500</v>
      </c>
      <c r="AZ37" s="59">
        <f t="shared" si="52"/>
        <v>-389.01</v>
      </c>
      <c r="BA37" s="60">
        <f t="shared" si="53"/>
        <v>0.74065999999999999</v>
      </c>
    </row>
    <row r="38" spans="1:53" x14ac:dyDescent="0.3">
      <c r="A38" s="57" t="s">
        <v>117</v>
      </c>
      <c r="B38" s="59">
        <f>293.93</f>
        <v>293.93</v>
      </c>
      <c r="C38" s="58"/>
      <c r="D38" s="59">
        <f t="shared" si="27"/>
        <v>293.93</v>
      </c>
      <c r="E38" s="60" t="str">
        <f t="shared" si="28"/>
        <v/>
      </c>
      <c r="F38" s="59">
        <f>314.88</f>
        <v>314.88</v>
      </c>
      <c r="G38" s="58"/>
      <c r="H38" s="59">
        <f t="shared" si="29"/>
        <v>314.88</v>
      </c>
      <c r="I38" s="60" t="str">
        <f t="shared" si="30"/>
        <v/>
      </c>
      <c r="J38" s="59">
        <f>215.16</f>
        <v>215.16</v>
      </c>
      <c r="K38" s="58"/>
      <c r="L38" s="59">
        <f t="shared" si="31"/>
        <v>215.16</v>
      </c>
      <c r="M38" s="60" t="str">
        <f t="shared" si="32"/>
        <v/>
      </c>
      <c r="N38" s="59">
        <f>290.13</f>
        <v>290.13</v>
      </c>
      <c r="O38" s="58"/>
      <c r="P38" s="59">
        <f t="shared" si="33"/>
        <v>290.13</v>
      </c>
      <c r="Q38" s="60" t="str">
        <f t="shared" si="34"/>
        <v/>
      </c>
      <c r="R38" s="59">
        <f>405.59</f>
        <v>405.59</v>
      </c>
      <c r="S38" s="58"/>
      <c r="T38" s="59">
        <f t="shared" si="35"/>
        <v>405.59</v>
      </c>
      <c r="U38" s="60" t="str">
        <f t="shared" si="36"/>
        <v/>
      </c>
      <c r="V38" s="59">
        <f>214.4</f>
        <v>214.4</v>
      </c>
      <c r="W38" s="58"/>
      <c r="X38" s="59">
        <f t="shared" si="37"/>
        <v>214.4</v>
      </c>
      <c r="Y38" s="60" t="str">
        <f t="shared" si="38"/>
        <v/>
      </c>
      <c r="Z38" s="59">
        <f>242.89</f>
        <v>242.89</v>
      </c>
      <c r="AA38" s="58"/>
      <c r="AB38" s="59">
        <f t="shared" si="39"/>
        <v>242.89</v>
      </c>
      <c r="AC38" s="60" t="str">
        <f t="shared" si="40"/>
        <v/>
      </c>
      <c r="AD38" s="59">
        <f>329.86</f>
        <v>329.86</v>
      </c>
      <c r="AE38" s="58"/>
      <c r="AF38" s="59">
        <f t="shared" si="41"/>
        <v>329.86</v>
      </c>
      <c r="AG38" s="60" t="str">
        <f t="shared" si="42"/>
        <v/>
      </c>
      <c r="AH38" s="59">
        <f>595.82</f>
        <v>595.82000000000005</v>
      </c>
      <c r="AI38" s="58"/>
      <c r="AJ38" s="59">
        <f t="shared" si="43"/>
        <v>595.82000000000005</v>
      </c>
      <c r="AK38" s="60" t="str">
        <f t="shared" si="44"/>
        <v/>
      </c>
      <c r="AL38" s="59">
        <f>222.66</f>
        <v>222.66</v>
      </c>
      <c r="AM38" s="58"/>
      <c r="AN38" s="59">
        <f t="shared" si="45"/>
        <v>222.66</v>
      </c>
      <c r="AO38" s="60" t="str">
        <f t="shared" si="46"/>
        <v/>
      </c>
      <c r="AP38" s="59">
        <f>347.11</f>
        <v>347.11</v>
      </c>
      <c r="AQ38" s="58"/>
      <c r="AR38" s="59">
        <f t="shared" si="47"/>
        <v>347.11</v>
      </c>
      <c r="AS38" s="60" t="str">
        <f t="shared" si="48"/>
        <v/>
      </c>
      <c r="AT38" s="59">
        <f>305.87</f>
        <v>305.87</v>
      </c>
      <c r="AU38" s="58"/>
      <c r="AV38" s="59">
        <f t="shared" si="49"/>
        <v>305.87</v>
      </c>
      <c r="AW38" s="60" t="str">
        <f t="shared" si="50"/>
        <v/>
      </c>
      <c r="AX38" s="59">
        <f t="shared" si="51"/>
        <v>3778.3</v>
      </c>
      <c r="AY38" s="59">
        <v>4000</v>
      </c>
      <c r="AZ38" s="59">
        <f t="shared" si="52"/>
        <v>-221.69999999999982</v>
      </c>
      <c r="BA38" s="60">
        <f t="shared" si="53"/>
        <v>0.94457500000000005</v>
      </c>
    </row>
    <row r="39" spans="1:53" x14ac:dyDescent="0.3">
      <c r="A39" s="57" t="s">
        <v>118</v>
      </c>
      <c r="B39" s="59">
        <f>139.43</f>
        <v>139.43</v>
      </c>
      <c r="C39" s="58"/>
      <c r="D39" s="59">
        <f t="shared" si="27"/>
        <v>139.43</v>
      </c>
      <c r="E39" s="60" t="str">
        <f t="shared" si="28"/>
        <v/>
      </c>
      <c r="F39" s="58"/>
      <c r="G39" s="58"/>
      <c r="H39" s="59">
        <f t="shared" si="29"/>
        <v>0</v>
      </c>
      <c r="I39" s="60" t="str">
        <f t="shared" si="30"/>
        <v/>
      </c>
      <c r="J39" s="58"/>
      <c r="K39" s="58"/>
      <c r="L39" s="59">
        <f t="shared" si="31"/>
        <v>0</v>
      </c>
      <c r="M39" s="60" t="str">
        <f t="shared" si="32"/>
        <v/>
      </c>
      <c r="N39" s="59">
        <f>675.69</f>
        <v>675.69</v>
      </c>
      <c r="O39" s="58"/>
      <c r="P39" s="59">
        <f t="shared" si="33"/>
        <v>675.69</v>
      </c>
      <c r="Q39" s="60" t="str">
        <f t="shared" si="34"/>
        <v/>
      </c>
      <c r="R39" s="59">
        <f>5.24</f>
        <v>5.24</v>
      </c>
      <c r="S39" s="58"/>
      <c r="T39" s="59">
        <f t="shared" si="35"/>
        <v>5.24</v>
      </c>
      <c r="U39" s="60" t="str">
        <f t="shared" si="36"/>
        <v/>
      </c>
      <c r="V39" s="58"/>
      <c r="W39" s="58"/>
      <c r="X39" s="59">
        <f t="shared" si="37"/>
        <v>0</v>
      </c>
      <c r="Y39" s="60" t="str">
        <f t="shared" si="38"/>
        <v/>
      </c>
      <c r="Z39" s="58"/>
      <c r="AA39" s="58"/>
      <c r="AB39" s="59">
        <f t="shared" si="39"/>
        <v>0</v>
      </c>
      <c r="AC39" s="60" t="str">
        <f t="shared" si="40"/>
        <v/>
      </c>
      <c r="AD39" s="59">
        <f>107.96</f>
        <v>107.96</v>
      </c>
      <c r="AE39" s="58"/>
      <c r="AF39" s="59">
        <f t="shared" si="41"/>
        <v>107.96</v>
      </c>
      <c r="AG39" s="60" t="str">
        <f t="shared" si="42"/>
        <v/>
      </c>
      <c r="AH39" s="59">
        <f>336.62</f>
        <v>336.62</v>
      </c>
      <c r="AI39" s="58"/>
      <c r="AJ39" s="59">
        <f t="shared" si="43"/>
        <v>336.62</v>
      </c>
      <c r="AK39" s="60" t="str">
        <f t="shared" si="44"/>
        <v/>
      </c>
      <c r="AL39" s="59">
        <f>121.42</f>
        <v>121.42</v>
      </c>
      <c r="AM39" s="58"/>
      <c r="AN39" s="59">
        <f t="shared" si="45"/>
        <v>121.42</v>
      </c>
      <c r="AO39" s="60" t="str">
        <f t="shared" si="46"/>
        <v/>
      </c>
      <c r="AP39" s="59">
        <f>41.98</f>
        <v>41.98</v>
      </c>
      <c r="AQ39" s="58"/>
      <c r="AR39" s="59">
        <f t="shared" si="47"/>
        <v>41.98</v>
      </c>
      <c r="AS39" s="60" t="str">
        <f t="shared" si="48"/>
        <v/>
      </c>
      <c r="AT39" s="59">
        <f>128.93</f>
        <v>128.93</v>
      </c>
      <c r="AU39" s="58"/>
      <c r="AV39" s="59">
        <f t="shared" si="49"/>
        <v>128.93</v>
      </c>
      <c r="AW39" s="60" t="str">
        <f t="shared" si="50"/>
        <v/>
      </c>
      <c r="AX39" s="59">
        <f t="shared" si="51"/>
        <v>1557.2700000000002</v>
      </c>
      <c r="AY39" s="59">
        <v>1500</v>
      </c>
      <c r="AZ39" s="59">
        <f t="shared" si="52"/>
        <v>57.270000000000209</v>
      </c>
      <c r="BA39" s="60">
        <f t="shared" si="53"/>
        <v>1.0381800000000001</v>
      </c>
    </row>
    <row r="40" spans="1:53" x14ac:dyDescent="0.3">
      <c r="A40" s="57" t="s">
        <v>119</v>
      </c>
      <c r="B40" s="61">
        <f>((((B35)+(B36))+(B37))+(B38))+(B39)</f>
        <v>1013.72</v>
      </c>
      <c r="C40" s="61">
        <f>((((C35)+(C36))+(C37))+(C38))+(C39)</f>
        <v>0</v>
      </c>
      <c r="D40" s="61">
        <f t="shared" si="27"/>
        <v>1013.72</v>
      </c>
      <c r="E40" s="62" t="str">
        <f t="shared" si="28"/>
        <v/>
      </c>
      <c r="F40" s="61">
        <f>((((F35)+(F36))+(F37))+(F38))+(F39)</f>
        <v>845.77</v>
      </c>
      <c r="G40" s="61">
        <f>((((G35)+(G36))+(G37))+(G38))+(G39)</f>
        <v>0</v>
      </c>
      <c r="H40" s="61">
        <f t="shared" si="29"/>
        <v>845.77</v>
      </c>
      <c r="I40" s="62" t="str">
        <f t="shared" si="30"/>
        <v/>
      </c>
      <c r="J40" s="61">
        <f>((((J35)+(J36))+(J37))+(J38))+(J39)</f>
        <v>447.11</v>
      </c>
      <c r="K40" s="61">
        <f>((((K35)+(K36))+(K37))+(K38))+(K39)</f>
        <v>0</v>
      </c>
      <c r="L40" s="61">
        <f t="shared" si="31"/>
        <v>447.11</v>
      </c>
      <c r="M40" s="62" t="str">
        <f t="shared" si="32"/>
        <v/>
      </c>
      <c r="N40" s="61">
        <f>((((N35)+(N36))+(N37))+(N38))+(N39)</f>
        <v>1325.13</v>
      </c>
      <c r="O40" s="61">
        <f>((((O35)+(O36))+(O37))+(O38))+(O39)</f>
        <v>0</v>
      </c>
      <c r="P40" s="61">
        <f t="shared" si="33"/>
        <v>1325.13</v>
      </c>
      <c r="Q40" s="62" t="str">
        <f t="shared" si="34"/>
        <v/>
      </c>
      <c r="R40" s="61">
        <f>((((R35)+(R36))+(R37))+(R38))+(R39)</f>
        <v>797</v>
      </c>
      <c r="S40" s="61">
        <f>((((S35)+(S36))+(S37))+(S38))+(S39)</f>
        <v>0</v>
      </c>
      <c r="T40" s="61">
        <f t="shared" si="35"/>
        <v>797</v>
      </c>
      <c r="U40" s="62" t="str">
        <f t="shared" si="36"/>
        <v/>
      </c>
      <c r="V40" s="61">
        <f>((((V35)+(V36))+(V37))+(V38))+(V39)</f>
        <v>714.3</v>
      </c>
      <c r="W40" s="61">
        <f>((((W35)+(W36))+(W37))+(W38))+(W39)</f>
        <v>0</v>
      </c>
      <c r="X40" s="61">
        <f t="shared" si="37"/>
        <v>714.3</v>
      </c>
      <c r="Y40" s="62" t="str">
        <f t="shared" si="38"/>
        <v/>
      </c>
      <c r="Z40" s="61">
        <f>((((Z35)+(Z36))+(Z37))+(Z38))+(Z39)</f>
        <v>587.80999999999995</v>
      </c>
      <c r="AA40" s="61">
        <f>((((AA35)+(AA36))+(AA37))+(AA38))+(AA39)</f>
        <v>0</v>
      </c>
      <c r="AB40" s="61">
        <f t="shared" si="39"/>
        <v>587.80999999999995</v>
      </c>
      <c r="AC40" s="62" t="str">
        <f t="shared" si="40"/>
        <v/>
      </c>
      <c r="AD40" s="61">
        <f>((((AD35)+(AD36))+(AD37))+(AD38))+(AD39)</f>
        <v>928.32</v>
      </c>
      <c r="AE40" s="61">
        <f>((((AE35)+(AE36))+(AE37))+(AE38))+(AE39)</f>
        <v>0</v>
      </c>
      <c r="AF40" s="61">
        <f t="shared" si="41"/>
        <v>928.32</v>
      </c>
      <c r="AG40" s="62" t="str">
        <f t="shared" si="42"/>
        <v/>
      </c>
      <c r="AH40" s="61">
        <f>((((AH35)+(AH36))+(AH37))+(AH38))+(AH39)</f>
        <v>1799.2199999999998</v>
      </c>
      <c r="AI40" s="61">
        <f>((((AI35)+(AI36))+(AI37))+(AI38))+(AI39)</f>
        <v>0</v>
      </c>
      <c r="AJ40" s="61">
        <f t="shared" si="43"/>
        <v>1799.2199999999998</v>
      </c>
      <c r="AK40" s="62" t="str">
        <f t="shared" si="44"/>
        <v/>
      </c>
      <c r="AL40" s="61">
        <f>((((AL35)+(AL36))+(AL37))+(AL38))+(AL39)</f>
        <v>661.01</v>
      </c>
      <c r="AM40" s="61">
        <f>((((AM35)+(AM36))+(AM37))+(AM38))+(AM39)</f>
        <v>0</v>
      </c>
      <c r="AN40" s="61">
        <f t="shared" si="45"/>
        <v>661.01</v>
      </c>
      <c r="AO40" s="62" t="str">
        <f t="shared" si="46"/>
        <v/>
      </c>
      <c r="AP40" s="61">
        <f>((((AP35)+(AP36))+(AP37))+(AP38))+(AP39)</f>
        <v>1162.3200000000002</v>
      </c>
      <c r="AQ40" s="61">
        <f>((((AQ35)+(AQ36))+(AQ37))+(AQ38))+(AQ39)</f>
        <v>0</v>
      </c>
      <c r="AR40" s="61">
        <f t="shared" si="47"/>
        <v>1162.3200000000002</v>
      </c>
      <c r="AS40" s="62" t="str">
        <f t="shared" si="48"/>
        <v/>
      </c>
      <c r="AT40" s="61">
        <f>((((AT35)+(AT36))+(AT37))+(AT38))+(AT39)</f>
        <v>808.71</v>
      </c>
      <c r="AU40" s="61">
        <f>((((AU35)+(AU36))+(AU37))+(AU38))+(AU39)</f>
        <v>0</v>
      </c>
      <c r="AV40" s="61">
        <f t="shared" si="49"/>
        <v>808.71</v>
      </c>
      <c r="AW40" s="62" t="str">
        <f t="shared" si="50"/>
        <v/>
      </c>
      <c r="AX40" s="61">
        <f t="shared" si="51"/>
        <v>11090.419999999998</v>
      </c>
      <c r="AY40" s="61">
        <f t="shared" si="51"/>
        <v>0</v>
      </c>
      <c r="AZ40" s="61">
        <f t="shared" si="52"/>
        <v>11090.419999999998</v>
      </c>
      <c r="BA40" s="62" t="str">
        <f t="shared" si="53"/>
        <v/>
      </c>
    </row>
    <row r="41" spans="1:53" x14ac:dyDescent="0.3">
      <c r="A41" s="57" t="s">
        <v>120</v>
      </c>
      <c r="B41" s="58"/>
      <c r="C41" s="58"/>
      <c r="D41" s="59">
        <f t="shared" si="27"/>
        <v>0</v>
      </c>
      <c r="E41" s="60" t="str">
        <f t="shared" si="28"/>
        <v/>
      </c>
      <c r="F41" s="58"/>
      <c r="G41" s="58"/>
      <c r="H41" s="59">
        <f t="shared" si="29"/>
        <v>0</v>
      </c>
      <c r="I41" s="60" t="str">
        <f t="shared" si="30"/>
        <v/>
      </c>
      <c r="J41" s="58"/>
      <c r="K41" s="58"/>
      <c r="L41" s="59">
        <f t="shared" si="31"/>
        <v>0</v>
      </c>
      <c r="M41" s="60" t="str">
        <f t="shared" si="32"/>
        <v/>
      </c>
      <c r="N41" s="58"/>
      <c r="O41" s="58"/>
      <c r="P41" s="59">
        <f t="shared" si="33"/>
        <v>0</v>
      </c>
      <c r="Q41" s="60" t="str">
        <f t="shared" si="34"/>
        <v/>
      </c>
      <c r="R41" s="58"/>
      <c r="S41" s="58"/>
      <c r="T41" s="59">
        <f t="shared" si="35"/>
        <v>0</v>
      </c>
      <c r="U41" s="60" t="str">
        <f t="shared" si="36"/>
        <v/>
      </c>
      <c r="V41" s="58"/>
      <c r="W41" s="58"/>
      <c r="X41" s="59">
        <f t="shared" si="37"/>
        <v>0</v>
      </c>
      <c r="Y41" s="60" t="str">
        <f t="shared" si="38"/>
        <v/>
      </c>
      <c r="Z41" s="58"/>
      <c r="AA41" s="58"/>
      <c r="AB41" s="59">
        <f t="shared" si="39"/>
        <v>0</v>
      </c>
      <c r="AC41" s="60" t="str">
        <f t="shared" si="40"/>
        <v/>
      </c>
      <c r="AD41" s="58"/>
      <c r="AE41" s="58"/>
      <c r="AF41" s="59">
        <f t="shared" si="41"/>
        <v>0</v>
      </c>
      <c r="AG41" s="60" t="str">
        <f t="shared" si="42"/>
        <v/>
      </c>
      <c r="AH41" s="58"/>
      <c r="AI41" s="58"/>
      <c r="AJ41" s="59">
        <f t="shared" si="43"/>
        <v>0</v>
      </c>
      <c r="AK41" s="60" t="str">
        <f t="shared" si="44"/>
        <v/>
      </c>
      <c r="AL41" s="58"/>
      <c r="AM41" s="58"/>
      <c r="AN41" s="59">
        <f t="shared" si="45"/>
        <v>0</v>
      </c>
      <c r="AO41" s="60" t="str">
        <f t="shared" si="46"/>
        <v/>
      </c>
      <c r="AP41" s="58"/>
      <c r="AQ41" s="58"/>
      <c r="AR41" s="59">
        <f t="shared" si="47"/>
        <v>0</v>
      </c>
      <c r="AS41" s="60" t="str">
        <f t="shared" si="48"/>
        <v/>
      </c>
      <c r="AT41" s="58"/>
      <c r="AU41" s="58"/>
      <c r="AV41" s="59">
        <f t="shared" si="49"/>
        <v>0</v>
      </c>
      <c r="AW41" s="60" t="str">
        <f t="shared" si="50"/>
        <v/>
      </c>
      <c r="AX41" s="59">
        <f t="shared" si="51"/>
        <v>0</v>
      </c>
      <c r="AY41" s="59">
        <f t="shared" si="51"/>
        <v>0</v>
      </c>
      <c r="AZ41" s="59">
        <f t="shared" si="52"/>
        <v>0</v>
      </c>
      <c r="BA41" s="60" t="str">
        <f t="shared" si="53"/>
        <v/>
      </c>
    </row>
    <row r="42" spans="1:53" x14ac:dyDescent="0.3">
      <c r="A42" s="57" t="s">
        <v>121</v>
      </c>
      <c r="B42" s="59">
        <f>5500</f>
        <v>5500</v>
      </c>
      <c r="C42" s="58"/>
      <c r="D42" s="59">
        <f t="shared" si="27"/>
        <v>5500</v>
      </c>
      <c r="E42" s="60" t="str">
        <f t="shared" si="28"/>
        <v/>
      </c>
      <c r="F42" s="58"/>
      <c r="G42" s="58"/>
      <c r="H42" s="59">
        <f t="shared" si="29"/>
        <v>0</v>
      </c>
      <c r="I42" s="60" t="str">
        <f t="shared" si="30"/>
        <v/>
      </c>
      <c r="J42" s="58"/>
      <c r="K42" s="58"/>
      <c r="L42" s="59">
        <f t="shared" si="31"/>
        <v>0</v>
      </c>
      <c r="M42" s="60" t="str">
        <f t="shared" si="32"/>
        <v/>
      </c>
      <c r="N42" s="58"/>
      <c r="O42" s="58"/>
      <c r="P42" s="59">
        <f t="shared" si="33"/>
        <v>0</v>
      </c>
      <c r="Q42" s="60" t="str">
        <f t="shared" si="34"/>
        <v/>
      </c>
      <c r="R42" s="58"/>
      <c r="S42" s="58"/>
      <c r="T42" s="59">
        <f t="shared" si="35"/>
        <v>0</v>
      </c>
      <c r="U42" s="60" t="str">
        <f t="shared" si="36"/>
        <v/>
      </c>
      <c r="V42" s="58"/>
      <c r="W42" s="58"/>
      <c r="X42" s="59">
        <f t="shared" si="37"/>
        <v>0</v>
      </c>
      <c r="Y42" s="60" t="str">
        <f t="shared" si="38"/>
        <v/>
      </c>
      <c r="Z42" s="58"/>
      <c r="AA42" s="58"/>
      <c r="AB42" s="59">
        <f t="shared" si="39"/>
        <v>0</v>
      </c>
      <c r="AC42" s="60" t="str">
        <f t="shared" si="40"/>
        <v/>
      </c>
      <c r="AD42" s="58"/>
      <c r="AE42" s="58"/>
      <c r="AF42" s="59">
        <f t="shared" si="41"/>
        <v>0</v>
      </c>
      <c r="AG42" s="60" t="str">
        <f t="shared" si="42"/>
        <v/>
      </c>
      <c r="AH42" s="58"/>
      <c r="AI42" s="58"/>
      <c r="AJ42" s="59">
        <f t="shared" si="43"/>
        <v>0</v>
      </c>
      <c r="AK42" s="60" t="str">
        <f t="shared" si="44"/>
        <v/>
      </c>
      <c r="AL42" s="58"/>
      <c r="AM42" s="58"/>
      <c r="AN42" s="59">
        <f t="shared" si="45"/>
        <v>0</v>
      </c>
      <c r="AO42" s="60" t="str">
        <f t="shared" si="46"/>
        <v/>
      </c>
      <c r="AP42" s="58"/>
      <c r="AQ42" s="58"/>
      <c r="AR42" s="59">
        <f t="shared" si="47"/>
        <v>0</v>
      </c>
      <c r="AS42" s="60" t="str">
        <f t="shared" si="48"/>
        <v/>
      </c>
      <c r="AT42" s="58"/>
      <c r="AU42" s="58"/>
      <c r="AV42" s="59">
        <f t="shared" si="49"/>
        <v>0</v>
      </c>
      <c r="AW42" s="60" t="str">
        <f t="shared" si="50"/>
        <v/>
      </c>
      <c r="AX42" s="59">
        <f t="shared" si="51"/>
        <v>5500</v>
      </c>
      <c r="AY42" s="59">
        <v>6000</v>
      </c>
      <c r="AZ42" s="59">
        <f t="shared" si="52"/>
        <v>-500</v>
      </c>
      <c r="BA42" s="60">
        <f t="shared" si="53"/>
        <v>0.91666666666666663</v>
      </c>
    </row>
    <row r="43" spans="1:53" x14ac:dyDescent="0.3">
      <c r="A43" s="57" t="s">
        <v>122</v>
      </c>
      <c r="B43" s="61">
        <f>(B41)+(B42)</f>
        <v>5500</v>
      </c>
      <c r="C43" s="61">
        <f>(C41)+(C42)</f>
        <v>0</v>
      </c>
      <c r="D43" s="61">
        <f t="shared" si="27"/>
        <v>5500</v>
      </c>
      <c r="E43" s="62" t="str">
        <f t="shared" si="28"/>
        <v/>
      </c>
      <c r="F43" s="61">
        <f>(F41)+(F42)</f>
        <v>0</v>
      </c>
      <c r="G43" s="61">
        <f>(G41)+(G42)</f>
        <v>0</v>
      </c>
      <c r="H43" s="61">
        <f t="shared" si="29"/>
        <v>0</v>
      </c>
      <c r="I43" s="62" t="str">
        <f t="shared" si="30"/>
        <v/>
      </c>
      <c r="J43" s="61">
        <f>(J41)+(J42)</f>
        <v>0</v>
      </c>
      <c r="K43" s="61">
        <f>(K41)+(K42)</f>
        <v>0</v>
      </c>
      <c r="L43" s="61">
        <f t="shared" si="31"/>
        <v>0</v>
      </c>
      <c r="M43" s="62" t="str">
        <f t="shared" si="32"/>
        <v/>
      </c>
      <c r="N43" s="61">
        <f>(N41)+(N42)</f>
        <v>0</v>
      </c>
      <c r="O43" s="61">
        <f>(O41)+(O42)</f>
        <v>0</v>
      </c>
      <c r="P43" s="61">
        <f t="shared" si="33"/>
        <v>0</v>
      </c>
      <c r="Q43" s="62" t="str">
        <f t="shared" si="34"/>
        <v/>
      </c>
      <c r="R43" s="61">
        <f>(R41)+(R42)</f>
        <v>0</v>
      </c>
      <c r="S43" s="61">
        <f>(S41)+(S42)</f>
        <v>0</v>
      </c>
      <c r="T43" s="61">
        <f t="shared" si="35"/>
        <v>0</v>
      </c>
      <c r="U43" s="62" t="str">
        <f t="shared" si="36"/>
        <v/>
      </c>
      <c r="V43" s="61">
        <f>(V41)+(V42)</f>
        <v>0</v>
      </c>
      <c r="W43" s="61">
        <f>(W41)+(W42)</f>
        <v>0</v>
      </c>
      <c r="X43" s="61">
        <f t="shared" si="37"/>
        <v>0</v>
      </c>
      <c r="Y43" s="62" t="str">
        <f t="shared" si="38"/>
        <v/>
      </c>
      <c r="Z43" s="61">
        <f>(Z41)+(Z42)</f>
        <v>0</v>
      </c>
      <c r="AA43" s="61">
        <f>(AA41)+(AA42)</f>
        <v>0</v>
      </c>
      <c r="AB43" s="61">
        <f t="shared" si="39"/>
        <v>0</v>
      </c>
      <c r="AC43" s="62" t="str">
        <f t="shared" si="40"/>
        <v/>
      </c>
      <c r="AD43" s="61">
        <f>(AD41)+(AD42)</f>
        <v>0</v>
      </c>
      <c r="AE43" s="61">
        <f>(AE41)+(AE42)</f>
        <v>0</v>
      </c>
      <c r="AF43" s="61">
        <f t="shared" si="41"/>
        <v>0</v>
      </c>
      <c r="AG43" s="62" t="str">
        <f t="shared" si="42"/>
        <v/>
      </c>
      <c r="AH43" s="61">
        <f>(AH41)+(AH42)</f>
        <v>0</v>
      </c>
      <c r="AI43" s="61">
        <f>(AI41)+(AI42)</f>
        <v>0</v>
      </c>
      <c r="AJ43" s="61">
        <f t="shared" si="43"/>
        <v>0</v>
      </c>
      <c r="AK43" s="62" t="str">
        <f t="shared" si="44"/>
        <v/>
      </c>
      <c r="AL43" s="61">
        <f>(AL41)+(AL42)</f>
        <v>0</v>
      </c>
      <c r="AM43" s="61">
        <f>(AM41)+(AM42)</f>
        <v>0</v>
      </c>
      <c r="AN43" s="61">
        <f t="shared" si="45"/>
        <v>0</v>
      </c>
      <c r="AO43" s="62" t="str">
        <f t="shared" si="46"/>
        <v/>
      </c>
      <c r="AP43" s="61">
        <f>(AP41)+(AP42)</f>
        <v>0</v>
      </c>
      <c r="AQ43" s="61">
        <f>(AQ41)+(AQ42)</f>
        <v>0</v>
      </c>
      <c r="AR43" s="61">
        <f t="shared" si="47"/>
        <v>0</v>
      </c>
      <c r="AS43" s="62" t="str">
        <f t="shared" si="48"/>
        <v/>
      </c>
      <c r="AT43" s="61">
        <f>(AT41)+(AT42)</f>
        <v>0</v>
      </c>
      <c r="AU43" s="61">
        <f>(AU41)+(AU42)</f>
        <v>0</v>
      </c>
      <c r="AV43" s="61">
        <f t="shared" si="49"/>
        <v>0</v>
      </c>
      <c r="AW43" s="62" t="str">
        <f t="shared" si="50"/>
        <v/>
      </c>
      <c r="AX43" s="61">
        <f t="shared" si="51"/>
        <v>5500</v>
      </c>
      <c r="AY43" s="61">
        <f t="shared" si="51"/>
        <v>0</v>
      </c>
      <c r="AZ43" s="61">
        <f t="shared" si="52"/>
        <v>5500</v>
      </c>
      <c r="BA43" s="62" t="str">
        <f t="shared" si="53"/>
        <v/>
      </c>
    </row>
    <row r="44" spans="1:53" x14ac:dyDescent="0.3">
      <c r="A44" s="57" t="s">
        <v>123</v>
      </c>
      <c r="B44" s="58"/>
      <c r="C44" s="58"/>
      <c r="D44" s="59">
        <f t="shared" si="27"/>
        <v>0</v>
      </c>
      <c r="E44" s="60" t="str">
        <f t="shared" si="28"/>
        <v/>
      </c>
      <c r="F44" s="58"/>
      <c r="G44" s="58"/>
      <c r="H44" s="59">
        <f t="shared" si="29"/>
        <v>0</v>
      </c>
      <c r="I44" s="60" t="str">
        <f t="shared" si="30"/>
        <v/>
      </c>
      <c r="J44" s="59">
        <f>517.5</f>
        <v>517.5</v>
      </c>
      <c r="K44" s="58"/>
      <c r="L44" s="59">
        <f t="shared" si="31"/>
        <v>517.5</v>
      </c>
      <c r="M44" s="60" t="str">
        <f t="shared" si="32"/>
        <v/>
      </c>
      <c r="N44" s="59">
        <f>1835.76</f>
        <v>1835.76</v>
      </c>
      <c r="O44" s="58"/>
      <c r="P44" s="59">
        <f t="shared" si="33"/>
        <v>1835.76</v>
      </c>
      <c r="Q44" s="60" t="str">
        <f t="shared" si="34"/>
        <v/>
      </c>
      <c r="R44" s="59">
        <f>2840</f>
        <v>2840</v>
      </c>
      <c r="S44" s="58"/>
      <c r="T44" s="59">
        <f t="shared" si="35"/>
        <v>2840</v>
      </c>
      <c r="U44" s="60" t="str">
        <f t="shared" si="36"/>
        <v/>
      </c>
      <c r="V44" s="58"/>
      <c r="W44" s="58"/>
      <c r="X44" s="59">
        <f t="shared" si="37"/>
        <v>0</v>
      </c>
      <c r="Y44" s="60" t="str">
        <f t="shared" si="38"/>
        <v/>
      </c>
      <c r="Z44" s="58"/>
      <c r="AA44" s="58"/>
      <c r="AB44" s="59">
        <f t="shared" si="39"/>
        <v>0</v>
      </c>
      <c r="AC44" s="60" t="str">
        <f t="shared" si="40"/>
        <v/>
      </c>
      <c r="AD44" s="58"/>
      <c r="AE44" s="58"/>
      <c r="AF44" s="59">
        <f t="shared" si="41"/>
        <v>0</v>
      </c>
      <c r="AG44" s="60" t="str">
        <f t="shared" si="42"/>
        <v/>
      </c>
      <c r="AH44" s="58"/>
      <c r="AI44" s="58"/>
      <c r="AJ44" s="59">
        <f t="shared" si="43"/>
        <v>0</v>
      </c>
      <c r="AK44" s="60" t="str">
        <f t="shared" si="44"/>
        <v/>
      </c>
      <c r="AL44" s="58"/>
      <c r="AM44" s="58"/>
      <c r="AN44" s="59">
        <f t="shared" si="45"/>
        <v>0</v>
      </c>
      <c r="AO44" s="60" t="str">
        <f t="shared" si="46"/>
        <v/>
      </c>
      <c r="AP44" s="59">
        <f>653</f>
        <v>653</v>
      </c>
      <c r="AQ44" s="58"/>
      <c r="AR44" s="59">
        <f t="shared" si="47"/>
        <v>653</v>
      </c>
      <c r="AS44" s="60" t="str">
        <f t="shared" si="48"/>
        <v/>
      </c>
      <c r="AT44" s="59">
        <f>4512</f>
        <v>4512</v>
      </c>
      <c r="AU44" s="58"/>
      <c r="AV44" s="59">
        <f t="shared" si="49"/>
        <v>4512</v>
      </c>
      <c r="AW44" s="60" t="str">
        <f t="shared" si="50"/>
        <v/>
      </c>
      <c r="AX44" s="59">
        <f t="shared" si="51"/>
        <v>10358.26</v>
      </c>
      <c r="AY44" s="59">
        <v>15000</v>
      </c>
      <c r="AZ44" s="59">
        <f t="shared" si="52"/>
        <v>-4641.74</v>
      </c>
      <c r="BA44" s="60">
        <f t="shared" si="53"/>
        <v>0.69055066666666665</v>
      </c>
    </row>
    <row r="45" spans="1:53" x14ac:dyDescent="0.3">
      <c r="A45" s="57" t="s">
        <v>124</v>
      </c>
      <c r="B45" s="58"/>
      <c r="C45" s="58"/>
      <c r="D45" s="59">
        <f t="shared" si="27"/>
        <v>0</v>
      </c>
      <c r="E45" s="60" t="str">
        <f t="shared" si="28"/>
        <v/>
      </c>
      <c r="F45" s="58"/>
      <c r="G45" s="58"/>
      <c r="H45" s="59">
        <f t="shared" si="29"/>
        <v>0</v>
      </c>
      <c r="I45" s="60" t="str">
        <f t="shared" si="30"/>
        <v/>
      </c>
      <c r="J45" s="58"/>
      <c r="K45" s="58"/>
      <c r="L45" s="59">
        <f t="shared" si="31"/>
        <v>0</v>
      </c>
      <c r="M45" s="60" t="str">
        <f t="shared" si="32"/>
        <v/>
      </c>
      <c r="N45" s="58"/>
      <c r="O45" s="58"/>
      <c r="P45" s="59">
        <f t="shared" si="33"/>
        <v>0</v>
      </c>
      <c r="Q45" s="60" t="str">
        <f t="shared" si="34"/>
        <v/>
      </c>
      <c r="R45" s="58"/>
      <c r="S45" s="58"/>
      <c r="T45" s="59">
        <f t="shared" si="35"/>
        <v>0</v>
      </c>
      <c r="U45" s="60" t="str">
        <f t="shared" si="36"/>
        <v/>
      </c>
      <c r="V45" s="58"/>
      <c r="W45" s="58"/>
      <c r="X45" s="59">
        <f t="shared" si="37"/>
        <v>0</v>
      </c>
      <c r="Y45" s="60" t="str">
        <f t="shared" si="38"/>
        <v/>
      </c>
      <c r="Z45" s="58"/>
      <c r="AA45" s="58"/>
      <c r="AB45" s="59">
        <f t="shared" si="39"/>
        <v>0</v>
      </c>
      <c r="AC45" s="60" t="str">
        <f t="shared" si="40"/>
        <v/>
      </c>
      <c r="AD45" s="58"/>
      <c r="AE45" s="58"/>
      <c r="AF45" s="59">
        <f t="shared" si="41"/>
        <v>0</v>
      </c>
      <c r="AG45" s="60" t="str">
        <f t="shared" si="42"/>
        <v/>
      </c>
      <c r="AH45" s="58"/>
      <c r="AI45" s="58"/>
      <c r="AJ45" s="59">
        <f t="shared" si="43"/>
        <v>0</v>
      </c>
      <c r="AK45" s="60" t="str">
        <f t="shared" si="44"/>
        <v/>
      </c>
      <c r="AL45" s="58"/>
      <c r="AM45" s="58"/>
      <c r="AN45" s="59">
        <f t="shared" si="45"/>
        <v>0</v>
      </c>
      <c r="AO45" s="60" t="str">
        <f t="shared" si="46"/>
        <v/>
      </c>
      <c r="AP45" s="58"/>
      <c r="AQ45" s="58"/>
      <c r="AR45" s="59">
        <f t="shared" si="47"/>
        <v>0</v>
      </c>
      <c r="AS45" s="60" t="str">
        <f t="shared" si="48"/>
        <v/>
      </c>
      <c r="AT45" s="58"/>
      <c r="AU45" s="58"/>
      <c r="AV45" s="59">
        <f t="shared" si="49"/>
        <v>0</v>
      </c>
      <c r="AW45" s="60" t="str">
        <f t="shared" si="50"/>
        <v/>
      </c>
      <c r="AX45" s="59">
        <f t="shared" si="51"/>
        <v>0</v>
      </c>
      <c r="AY45" s="59">
        <f t="shared" si="51"/>
        <v>0</v>
      </c>
      <c r="AZ45" s="59">
        <f t="shared" si="52"/>
        <v>0</v>
      </c>
      <c r="BA45" s="60" t="str">
        <f t="shared" si="53"/>
        <v/>
      </c>
    </row>
    <row r="46" spans="1:53" x14ac:dyDescent="0.3">
      <c r="A46" s="57" t="s">
        <v>125</v>
      </c>
      <c r="B46" s="59">
        <f>50.34</f>
        <v>50.34</v>
      </c>
      <c r="C46" s="58"/>
      <c r="D46" s="59">
        <f t="shared" si="27"/>
        <v>50.34</v>
      </c>
      <c r="E46" s="60" t="str">
        <f t="shared" si="28"/>
        <v/>
      </c>
      <c r="F46" s="59">
        <f>686.08</f>
        <v>686.08</v>
      </c>
      <c r="G46" s="58"/>
      <c r="H46" s="59">
        <f t="shared" si="29"/>
        <v>686.08</v>
      </c>
      <c r="I46" s="60" t="str">
        <f t="shared" si="30"/>
        <v/>
      </c>
      <c r="J46" s="59">
        <f>993.01</f>
        <v>993.01</v>
      </c>
      <c r="K46" s="58"/>
      <c r="L46" s="59">
        <f t="shared" si="31"/>
        <v>993.01</v>
      </c>
      <c r="M46" s="60" t="str">
        <f t="shared" si="32"/>
        <v/>
      </c>
      <c r="N46" s="59">
        <f>1299.19</f>
        <v>1299.19</v>
      </c>
      <c r="O46" s="58"/>
      <c r="P46" s="59">
        <f t="shared" si="33"/>
        <v>1299.19</v>
      </c>
      <c r="Q46" s="60" t="str">
        <f t="shared" si="34"/>
        <v/>
      </c>
      <c r="R46" s="59">
        <f>1490.51</f>
        <v>1490.51</v>
      </c>
      <c r="S46" s="58"/>
      <c r="T46" s="59">
        <f t="shared" si="35"/>
        <v>1490.51</v>
      </c>
      <c r="U46" s="60" t="str">
        <f t="shared" si="36"/>
        <v/>
      </c>
      <c r="V46" s="59">
        <f>1140.95</f>
        <v>1140.95</v>
      </c>
      <c r="W46" s="58"/>
      <c r="X46" s="59">
        <f t="shared" si="37"/>
        <v>1140.95</v>
      </c>
      <c r="Y46" s="60" t="str">
        <f t="shared" si="38"/>
        <v/>
      </c>
      <c r="Z46" s="59">
        <f>1199.34</f>
        <v>1199.3399999999999</v>
      </c>
      <c r="AA46" s="58"/>
      <c r="AB46" s="59">
        <f t="shared" si="39"/>
        <v>1199.3399999999999</v>
      </c>
      <c r="AC46" s="60" t="str">
        <f t="shared" si="40"/>
        <v/>
      </c>
      <c r="AD46" s="59">
        <f>962.08</f>
        <v>962.08</v>
      </c>
      <c r="AE46" s="58"/>
      <c r="AF46" s="59">
        <f t="shared" si="41"/>
        <v>962.08</v>
      </c>
      <c r="AG46" s="60" t="str">
        <f t="shared" si="42"/>
        <v/>
      </c>
      <c r="AH46" s="59">
        <f>1535.97</f>
        <v>1535.97</v>
      </c>
      <c r="AI46" s="58"/>
      <c r="AJ46" s="59">
        <f t="shared" si="43"/>
        <v>1535.97</v>
      </c>
      <c r="AK46" s="60" t="str">
        <f t="shared" si="44"/>
        <v/>
      </c>
      <c r="AL46" s="59">
        <f>1329.79</f>
        <v>1329.79</v>
      </c>
      <c r="AM46" s="58"/>
      <c r="AN46" s="59">
        <f t="shared" si="45"/>
        <v>1329.79</v>
      </c>
      <c r="AO46" s="60" t="str">
        <f t="shared" si="46"/>
        <v/>
      </c>
      <c r="AP46" s="59">
        <f>948.01</f>
        <v>948.01</v>
      </c>
      <c r="AQ46" s="58"/>
      <c r="AR46" s="59">
        <f t="shared" si="47"/>
        <v>948.01</v>
      </c>
      <c r="AS46" s="60" t="str">
        <f t="shared" si="48"/>
        <v/>
      </c>
      <c r="AT46" s="59">
        <f>524.91</f>
        <v>524.91</v>
      </c>
      <c r="AU46" s="58"/>
      <c r="AV46" s="59">
        <f t="shared" si="49"/>
        <v>524.91</v>
      </c>
      <c r="AW46" s="60" t="str">
        <f t="shared" si="50"/>
        <v/>
      </c>
      <c r="AX46" s="59">
        <f t="shared" si="51"/>
        <v>12160.179999999998</v>
      </c>
      <c r="AY46" s="59">
        <v>13000</v>
      </c>
      <c r="AZ46" s="59">
        <f t="shared" si="52"/>
        <v>-839.82000000000153</v>
      </c>
      <c r="BA46" s="60">
        <f t="shared" si="53"/>
        <v>0.9353984615384614</v>
      </c>
    </row>
    <row r="47" spans="1:53" x14ac:dyDescent="0.3">
      <c r="A47" s="57" t="s">
        <v>126</v>
      </c>
      <c r="B47" s="59">
        <f>5.38</f>
        <v>5.38</v>
      </c>
      <c r="C47" s="58"/>
      <c r="D47" s="59">
        <f t="shared" si="27"/>
        <v>5.38</v>
      </c>
      <c r="E47" s="60" t="str">
        <f t="shared" si="28"/>
        <v/>
      </c>
      <c r="F47" s="59">
        <f>1411.34</f>
        <v>1411.34</v>
      </c>
      <c r="G47" s="58"/>
      <c r="H47" s="59">
        <f t="shared" si="29"/>
        <v>1411.34</v>
      </c>
      <c r="I47" s="60" t="str">
        <f t="shared" si="30"/>
        <v/>
      </c>
      <c r="J47" s="59">
        <f>1739.44</f>
        <v>1739.44</v>
      </c>
      <c r="K47" s="58"/>
      <c r="L47" s="59">
        <f t="shared" si="31"/>
        <v>1739.44</v>
      </c>
      <c r="M47" s="60" t="str">
        <f t="shared" si="32"/>
        <v/>
      </c>
      <c r="N47" s="59">
        <f>1941.69</f>
        <v>1941.69</v>
      </c>
      <c r="O47" s="58"/>
      <c r="P47" s="59">
        <f t="shared" si="33"/>
        <v>1941.69</v>
      </c>
      <c r="Q47" s="60" t="str">
        <f t="shared" si="34"/>
        <v/>
      </c>
      <c r="R47" s="59">
        <f>1329.15</f>
        <v>1329.15</v>
      </c>
      <c r="S47" s="58"/>
      <c r="T47" s="59">
        <f t="shared" si="35"/>
        <v>1329.15</v>
      </c>
      <c r="U47" s="60" t="str">
        <f t="shared" si="36"/>
        <v/>
      </c>
      <c r="V47" s="59">
        <f>1967.05</f>
        <v>1967.05</v>
      </c>
      <c r="W47" s="58"/>
      <c r="X47" s="59">
        <f t="shared" si="37"/>
        <v>1967.05</v>
      </c>
      <c r="Y47" s="60" t="str">
        <f t="shared" si="38"/>
        <v/>
      </c>
      <c r="Z47" s="59">
        <f>389.32</f>
        <v>389.32</v>
      </c>
      <c r="AA47" s="58"/>
      <c r="AB47" s="59">
        <f t="shared" si="39"/>
        <v>389.32</v>
      </c>
      <c r="AC47" s="60" t="str">
        <f t="shared" si="40"/>
        <v/>
      </c>
      <c r="AD47" s="59">
        <f>1923.27</f>
        <v>1923.27</v>
      </c>
      <c r="AE47" s="58"/>
      <c r="AF47" s="59">
        <f t="shared" si="41"/>
        <v>1923.27</v>
      </c>
      <c r="AG47" s="60" t="str">
        <f t="shared" si="42"/>
        <v/>
      </c>
      <c r="AH47" s="59">
        <f>1476.08</f>
        <v>1476.08</v>
      </c>
      <c r="AI47" s="58"/>
      <c r="AJ47" s="59">
        <f t="shared" si="43"/>
        <v>1476.08</v>
      </c>
      <c r="AK47" s="60" t="str">
        <f t="shared" si="44"/>
        <v/>
      </c>
      <c r="AL47" s="59">
        <f>1705.2</f>
        <v>1705.2</v>
      </c>
      <c r="AM47" s="58"/>
      <c r="AN47" s="59">
        <f t="shared" si="45"/>
        <v>1705.2</v>
      </c>
      <c r="AO47" s="60" t="str">
        <f t="shared" si="46"/>
        <v/>
      </c>
      <c r="AP47" s="59">
        <f>680.08</f>
        <v>680.08</v>
      </c>
      <c r="AQ47" s="58"/>
      <c r="AR47" s="59">
        <f t="shared" si="47"/>
        <v>680.08</v>
      </c>
      <c r="AS47" s="60" t="str">
        <f t="shared" si="48"/>
        <v/>
      </c>
      <c r="AT47" s="59">
        <f>404.5</f>
        <v>404.5</v>
      </c>
      <c r="AU47" s="58"/>
      <c r="AV47" s="59">
        <f t="shared" si="49"/>
        <v>404.5</v>
      </c>
      <c r="AW47" s="60" t="str">
        <f t="shared" si="50"/>
        <v/>
      </c>
      <c r="AX47" s="59">
        <f t="shared" si="51"/>
        <v>14972.5</v>
      </c>
      <c r="AY47" s="59">
        <v>16000</v>
      </c>
      <c r="AZ47" s="59">
        <f t="shared" si="52"/>
        <v>-1027.5</v>
      </c>
      <c r="BA47" s="60">
        <f t="shared" si="53"/>
        <v>0.93578125000000001</v>
      </c>
    </row>
    <row r="48" spans="1:53" x14ac:dyDescent="0.3">
      <c r="A48" s="57" t="s">
        <v>127</v>
      </c>
      <c r="B48" s="59">
        <f>45</f>
        <v>45</v>
      </c>
      <c r="C48" s="58"/>
      <c r="D48" s="59">
        <f t="shared" si="27"/>
        <v>45</v>
      </c>
      <c r="E48" s="60" t="str">
        <f t="shared" si="28"/>
        <v/>
      </c>
      <c r="F48" s="58"/>
      <c r="G48" s="58"/>
      <c r="H48" s="59">
        <f t="shared" si="29"/>
        <v>0</v>
      </c>
      <c r="I48" s="60" t="str">
        <f t="shared" si="30"/>
        <v/>
      </c>
      <c r="J48" s="59">
        <f>835.98</f>
        <v>835.98</v>
      </c>
      <c r="K48" s="58"/>
      <c r="L48" s="59">
        <f t="shared" si="31"/>
        <v>835.98</v>
      </c>
      <c r="M48" s="60" t="str">
        <f t="shared" si="32"/>
        <v/>
      </c>
      <c r="N48" s="58"/>
      <c r="O48" s="58"/>
      <c r="P48" s="59">
        <f t="shared" si="33"/>
        <v>0</v>
      </c>
      <c r="Q48" s="60" t="str">
        <f t="shared" si="34"/>
        <v/>
      </c>
      <c r="R48" s="58"/>
      <c r="S48" s="58"/>
      <c r="T48" s="59">
        <f t="shared" si="35"/>
        <v>0</v>
      </c>
      <c r="U48" s="60" t="str">
        <f t="shared" si="36"/>
        <v/>
      </c>
      <c r="V48" s="59">
        <f>1887.33</f>
        <v>1887.33</v>
      </c>
      <c r="W48" s="58"/>
      <c r="X48" s="59">
        <f t="shared" si="37"/>
        <v>1887.33</v>
      </c>
      <c r="Y48" s="60" t="str">
        <f t="shared" si="38"/>
        <v/>
      </c>
      <c r="Z48" s="58"/>
      <c r="AA48" s="58"/>
      <c r="AB48" s="59">
        <f t="shared" si="39"/>
        <v>0</v>
      </c>
      <c r="AC48" s="60" t="str">
        <f t="shared" si="40"/>
        <v/>
      </c>
      <c r="AD48" s="59">
        <f>1460.95</f>
        <v>1460.95</v>
      </c>
      <c r="AE48" s="58"/>
      <c r="AF48" s="59">
        <f t="shared" si="41"/>
        <v>1460.95</v>
      </c>
      <c r="AG48" s="60" t="str">
        <f t="shared" si="42"/>
        <v/>
      </c>
      <c r="AH48" s="58"/>
      <c r="AI48" s="58"/>
      <c r="AJ48" s="59">
        <f t="shared" si="43"/>
        <v>0</v>
      </c>
      <c r="AK48" s="60" t="str">
        <f t="shared" si="44"/>
        <v/>
      </c>
      <c r="AL48" s="59">
        <f>1460.95</f>
        <v>1460.95</v>
      </c>
      <c r="AM48" s="58"/>
      <c r="AN48" s="59">
        <f t="shared" si="45"/>
        <v>1460.95</v>
      </c>
      <c r="AO48" s="60" t="str">
        <f t="shared" si="46"/>
        <v/>
      </c>
      <c r="AP48" s="58"/>
      <c r="AQ48" s="58"/>
      <c r="AR48" s="59">
        <f t="shared" si="47"/>
        <v>0</v>
      </c>
      <c r="AS48" s="60" t="str">
        <f t="shared" si="48"/>
        <v/>
      </c>
      <c r="AT48" s="59">
        <f>52</f>
        <v>52</v>
      </c>
      <c r="AU48" s="58"/>
      <c r="AV48" s="59">
        <f t="shared" si="49"/>
        <v>52</v>
      </c>
      <c r="AW48" s="60" t="str">
        <f t="shared" si="50"/>
        <v/>
      </c>
      <c r="AX48" s="59">
        <f t="shared" si="51"/>
        <v>5742.21</v>
      </c>
      <c r="AY48" s="59">
        <v>4500</v>
      </c>
      <c r="AZ48" s="59">
        <f t="shared" si="52"/>
        <v>1242.21</v>
      </c>
      <c r="BA48" s="60">
        <f t="shared" si="53"/>
        <v>1.2760466666666668</v>
      </c>
    </row>
    <row r="49" spans="1:53" x14ac:dyDescent="0.3">
      <c r="A49" s="57" t="s">
        <v>128</v>
      </c>
      <c r="B49" s="61">
        <f>(((B45)+(B46))+(B47))+(B48)</f>
        <v>100.72</v>
      </c>
      <c r="C49" s="61">
        <f>(((C45)+(C46))+(C47))+(C48)</f>
        <v>0</v>
      </c>
      <c r="D49" s="61">
        <f t="shared" si="27"/>
        <v>100.72</v>
      </c>
      <c r="E49" s="62" t="str">
        <f t="shared" si="28"/>
        <v/>
      </c>
      <c r="F49" s="61">
        <f>(((F45)+(F46))+(F47))+(F48)</f>
        <v>2097.42</v>
      </c>
      <c r="G49" s="61">
        <f>(((G45)+(G46))+(G47))+(G48)</f>
        <v>0</v>
      </c>
      <c r="H49" s="61">
        <f t="shared" si="29"/>
        <v>2097.42</v>
      </c>
      <c r="I49" s="62" t="str">
        <f t="shared" si="30"/>
        <v/>
      </c>
      <c r="J49" s="61">
        <f>(((J45)+(J46))+(J47))+(J48)</f>
        <v>3568.43</v>
      </c>
      <c r="K49" s="61">
        <f>(((K45)+(K46))+(K47))+(K48)</f>
        <v>0</v>
      </c>
      <c r="L49" s="61">
        <f t="shared" si="31"/>
        <v>3568.43</v>
      </c>
      <c r="M49" s="62" t="str">
        <f t="shared" si="32"/>
        <v/>
      </c>
      <c r="N49" s="61">
        <f>(((N45)+(N46))+(N47))+(N48)</f>
        <v>3240.88</v>
      </c>
      <c r="O49" s="61">
        <f>(((O45)+(O46))+(O47))+(O48)</f>
        <v>0</v>
      </c>
      <c r="P49" s="61">
        <f t="shared" si="33"/>
        <v>3240.88</v>
      </c>
      <c r="Q49" s="62" t="str">
        <f t="shared" si="34"/>
        <v/>
      </c>
      <c r="R49" s="61">
        <f>(((R45)+(R46))+(R47))+(R48)</f>
        <v>2819.66</v>
      </c>
      <c r="S49" s="61">
        <f>(((S45)+(S46))+(S47))+(S48)</f>
        <v>0</v>
      </c>
      <c r="T49" s="61">
        <f t="shared" si="35"/>
        <v>2819.66</v>
      </c>
      <c r="U49" s="62" t="str">
        <f t="shared" si="36"/>
        <v/>
      </c>
      <c r="V49" s="61">
        <f>(((V45)+(V46))+(V47))+(V48)</f>
        <v>4995.33</v>
      </c>
      <c r="W49" s="61">
        <f>(((W45)+(W46))+(W47))+(W48)</f>
        <v>0</v>
      </c>
      <c r="X49" s="61">
        <f t="shared" si="37"/>
        <v>4995.33</v>
      </c>
      <c r="Y49" s="62" t="str">
        <f t="shared" si="38"/>
        <v/>
      </c>
      <c r="Z49" s="61">
        <f>(((Z45)+(Z46))+(Z47))+(Z48)</f>
        <v>1588.6599999999999</v>
      </c>
      <c r="AA49" s="61">
        <f>(((AA45)+(AA46))+(AA47))+(AA48)</f>
        <v>0</v>
      </c>
      <c r="AB49" s="61">
        <f t="shared" si="39"/>
        <v>1588.6599999999999</v>
      </c>
      <c r="AC49" s="62" t="str">
        <f t="shared" si="40"/>
        <v/>
      </c>
      <c r="AD49" s="61">
        <f>(((AD45)+(AD46))+(AD47))+(AD48)</f>
        <v>4346.3</v>
      </c>
      <c r="AE49" s="61">
        <f>(((AE45)+(AE46))+(AE47))+(AE48)</f>
        <v>0</v>
      </c>
      <c r="AF49" s="61">
        <f t="shared" si="41"/>
        <v>4346.3</v>
      </c>
      <c r="AG49" s="62" t="str">
        <f t="shared" si="42"/>
        <v/>
      </c>
      <c r="AH49" s="61">
        <f>(((AH45)+(AH46))+(AH47))+(AH48)</f>
        <v>3012.05</v>
      </c>
      <c r="AI49" s="61">
        <f>(((AI45)+(AI46))+(AI47))+(AI48)</f>
        <v>0</v>
      </c>
      <c r="AJ49" s="61">
        <f t="shared" si="43"/>
        <v>3012.05</v>
      </c>
      <c r="AK49" s="62" t="str">
        <f t="shared" si="44"/>
        <v/>
      </c>
      <c r="AL49" s="61">
        <f>(((AL45)+(AL46))+(AL47))+(AL48)</f>
        <v>4495.9399999999996</v>
      </c>
      <c r="AM49" s="61">
        <f>(((AM45)+(AM46))+(AM47))+(AM48)</f>
        <v>0</v>
      </c>
      <c r="AN49" s="61">
        <f t="shared" si="45"/>
        <v>4495.9399999999996</v>
      </c>
      <c r="AO49" s="62" t="str">
        <f t="shared" si="46"/>
        <v/>
      </c>
      <c r="AP49" s="61">
        <f>(((AP45)+(AP46))+(AP47))+(AP48)</f>
        <v>1628.0900000000001</v>
      </c>
      <c r="AQ49" s="61">
        <f>(((AQ45)+(AQ46))+(AQ47))+(AQ48)</f>
        <v>0</v>
      </c>
      <c r="AR49" s="61">
        <f t="shared" si="47"/>
        <v>1628.0900000000001</v>
      </c>
      <c r="AS49" s="62" t="str">
        <f t="shared" si="48"/>
        <v/>
      </c>
      <c r="AT49" s="61">
        <f>(((AT45)+(AT46))+(AT47))+(AT48)</f>
        <v>981.41</v>
      </c>
      <c r="AU49" s="61">
        <f>(((AU45)+(AU46))+(AU47))+(AU48)</f>
        <v>0</v>
      </c>
      <c r="AV49" s="61">
        <f t="shared" si="49"/>
        <v>981.41</v>
      </c>
      <c r="AW49" s="62" t="str">
        <f t="shared" si="50"/>
        <v/>
      </c>
      <c r="AX49" s="61">
        <f t="shared" si="51"/>
        <v>32874.89</v>
      </c>
      <c r="AY49" s="61">
        <f t="shared" si="51"/>
        <v>0</v>
      </c>
      <c r="AZ49" s="61">
        <f t="shared" si="52"/>
        <v>32874.89</v>
      </c>
      <c r="BA49" s="62" t="str">
        <f t="shared" si="53"/>
        <v/>
      </c>
    </row>
    <row r="50" spans="1:53" x14ac:dyDescent="0.3">
      <c r="A50" s="57" t="s">
        <v>129</v>
      </c>
      <c r="B50" s="59">
        <f>1500</f>
        <v>1500</v>
      </c>
      <c r="C50" s="58"/>
      <c r="D50" s="59">
        <f t="shared" si="27"/>
        <v>1500</v>
      </c>
      <c r="E50" s="60" t="str">
        <f t="shared" si="28"/>
        <v/>
      </c>
      <c r="F50" s="58"/>
      <c r="G50" s="58"/>
      <c r="H50" s="59">
        <f t="shared" si="29"/>
        <v>0</v>
      </c>
      <c r="I50" s="60" t="str">
        <f t="shared" si="30"/>
        <v/>
      </c>
      <c r="J50" s="58"/>
      <c r="K50" s="58"/>
      <c r="L50" s="59">
        <f t="shared" si="31"/>
        <v>0</v>
      </c>
      <c r="M50" s="60" t="str">
        <f t="shared" si="32"/>
        <v/>
      </c>
      <c r="N50" s="58"/>
      <c r="O50" s="58"/>
      <c r="P50" s="59">
        <f t="shared" si="33"/>
        <v>0</v>
      </c>
      <c r="Q50" s="60" t="str">
        <f t="shared" si="34"/>
        <v/>
      </c>
      <c r="R50" s="58"/>
      <c r="S50" s="58"/>
      <c r="T50" s="59">
        <f t="shared" si="35"/>
        <v>0</v>
      </c>
      <c r="U50" s="60" t="str">
        <f t="shared" si="36"/>
        <v/>
      </c>
      <c r="V50" s="59">
        <f>2000</f>
        <v>2000</v>
      </c>
      <c r="W50" s="58"/>
      <c r="X50" s="59">
        <f t="shared" si="37"/>
        <v>2000</v>
      </c>
      <c r="Y50" s="60" t="str">
        <f t="shared" si="38"/>
        <v/>
      </c>
      <c r="Z50" s="58"/>
      <c r="AA50" s="58"/>
      <c r="AB50" s="59">
        <f t="shared" si="39"/>
        <v>0</v>
      </c>
      <c r="AC50" s="60" t="str">
        <f t="shared" si="40"/>
        <v/>
      </c>
      <c r="AD50" s="58"/>
      <c r="AE50" s="58"/>
      <c r="AF50" s="59">
        <f t="shared" si="41"/>
        <v>0</v>
      </c>
      <c r="AG50" s="60" t="str">
        <f t="shared" si="42"/>
        <v/>
      </c>
      <c r="AH50" s="58"/>
      <c r="AI50" s="58"/>
      <c r="AJ50" s="59">
        <f t="shared" si="43"/>
        <v>0</v>
      </c>
      <c r="AK50" s="60" t="str">
        <f t="shared" si="44"/>
        <v/>
      </c>
      <c r="AL50" s="58"/>
      <c r="AM50" s="58"/>
      <c r="AN50" s="59">
        <f t="shared" si="45"/>
        <v>0</v>
      </c>
      <c r="AO50" s="60" t="str">
        <f t="shared" si="46"/>
        <v/>
      </c>
      <c r="AP50" s="58"/>
      <c r="AQ50" s="58"/>
      <c r="AR50" s="59">
        <f t="shared" si="47"/>
        <v>0</v>
      </c>
      <c r="AS50" s="60" t="str">
        <f t="shared" si="48"/>
        <v/>
      </c>
      <c r="AT50" s="59">
        <f>373</f>
        <v>373</v>
      </c>
      <c r="AU50" s="58"/>
      <c r="AV50" s="59">
        <f t="shared" si="49"/>
        <v>373</v>
      </c>
      <c r="AW50" s="60" t="str">
        <f t="shared" si="50"/>
        <v/>
      </c>
      <c r="AX50" s="59">
        <f t="shared" si="51"/>
        <v>3873</v>
      </c>
      <c r="AY50" s="59">
        <v>1500</v>
      </c>
      <c r="AZ50" s="59">
        <f t="shared" si="52"/>
        <v>2373</v>
      </c>
      <c r="BA50" s="60">
        <f t="shared" si="53"/>
        <v>2.5819999999999999</v>
      </c>
    </row>
    <row r="51" spans="1:53" x14ac:dyDescent="0.3">
      <c r="A51" s="57" t="s">
        <v>130</v>
      </c>
      <c r="B51" s="61">
        <f>(((((B34)+(B40))+(B43))+(B44))+(B49))+(B50)</f>
        <v>8114.4400000000005</v>
      </c>
      <c r="C51" s="61">
        <f>(((((C34)+(C40))+(C43))+(C44))+(C49))+(C50)</f>
        <v>0</v>
      </c>
      <c r="D51" s="61">
        <f t="shared" si="27"/>
        <v>8114.4400000000005</v>
      </c>
      <c r="E51" s="62" t="str">
        <f t="shared" si="28"/>
        <v/>
      </c>
      <c r="F51" s="61">
        <f>(((((F34)+(F40))+(F43))+(F44))+(F49))+(F50)</f>
        <v>2943.19</v>
      </c>
      <c r="G51" s="61">
        <f>(((((G34)+(G40))+(G43))+(G44))+(G49))+(G50)</f>
        <v>0</v>
      </c>
      <c r="H51" s="61">
        <f t="shared" si="29"/>
        <v>2943.19</v>
      </c>
      <c r="I51" s="62" t="str">
        <f t="shared" si="30"/>
        <v/>
      </c>
      <c r="J51" s="61">
        <f>(((((J34)+(J40))+(J43))+(J44))+(J49))+(J50)</f>
        <v>4533.04</v>
      </c>
      <c r="K51" s="61">
        <f>(((((K34)+(K40))+(K43))+(K44))+(K49))+(K50)</f>
        <v>0</v>
      </c>
      <c r="L51" s="61">
        <f t="shared" si="31"/>
        <v>4533.04</v>
      </c>
      <c r="M51" s="62" t="str">
        <f t="shared" si="32"/>
        <v/>
      </c>
      <c r="N51" s="61">
        <f>(((((N34)+(N40))+(N43))+(N44))+(N49))+(N50)</f>
        <v>6401.77</v>
      </c>
      <c r="O51" s="61">
        <f>(((((O34)+(O40))+(O43))+(O44))+(O49))+(O50)</f>
        <v>0</v>
      </c>
      <c r="P51" s="61">
        <f t="shared" si="33"/>
        <v>6401.77</v>
      </c>
      <c r="Q51" s="62" t="str">
        <f t="shared" si="34"/>
        <v/>
      </c>
      <c r="R51" s="61">
        <f>(((((R34)+(R40))+(R43))+(R44))+(R49))+(R50)</f>
        <v>6456.66</v>
      </c>
      <c r="S51" s="61">
        <f>(((((S34)+(S40))+(S43))+(S44))+(S49))+(S50)</f>
        <v>0</v>
      </c>
      <c r="T51" s="61">
        <f t="shared" si="35"/>
        <v>6456.66</v>
      </c>
      <c r="U51" s="62" t="str">
        <f t="shared" si="36"/>
        <v/>
      </c>
      <c r="V51" s="61">
        <f>(((((V34)+(V40))+(V43))+(V44))+(V49))+(V50)</f>
        <v>7709.63</v>
      </c>
      <c r="W51" s="61">
        <f>(((((W34)+(W40))+(W43))+(W44))+(W49))+(W50)</f>
        <v>0</v>
      </c>
      <c r="X51" s="61">
        <f t="shared" si="37"/>
        <v>7709.63</v>
      </c>
      <c r="Y51" s="62" t="str">
        <f t="shared" si="38"/>
        <v/>
      </c>
      <c r="Z51" s="61">
        <f>(((((Z34)+(Z40))+(Z43))+(Z44))+(Z49))+(Z50)</f>
        <v>2176.4699999999998</v>
      </c>
      <c r="AA51" s="61">
        <f>(((((AA34)+(AA40))+(AA43))+(AA44))+(AA49))+(AA50)</f>
        <v>0</v>
      </c>
      <c r="AB51" s="61">
        <f t="shared" si="39"/>
        <v>2176.4699999999998</v>
      </c>
      <c r="AC51" s="62" t="str">
        <f t="shared" si="40"/>
        <v/>
      </c>
      <c r="AD51" s="61">
        <f>(((((AD34)+(AD40))+(AD43))+(AD44))+(AD49))+(AD50)</f>
        <v>5274.62</v>
      </c>
      <c r="AE51" s="61">
        <f>(((((AE34)+(AE40))+(AE43))+(AE44))+(AE49))+(AE50)</f>
        <v>0</v>
      </c>
      <c r="AF51" s="61">
        <f t="shared" si="41"/>
        <v>5274.62</v>
      </c>
      <c r="AG51" s="62" t="str">
        <f t="shared" si="42"/>
        <v/>
      </c>
      <c r="AH51" s="61">
        <f>(((((AH34)+(AH40))+(AH43))+(AH44))+(AH49))+(AH50)</f>
        <v>4811.2700000000004</v>
      </c>
      <c r="AI51" s="61">
        <f>(((((AI34)+(AI40))+(AI43))+(AI44))+(AI49))+(AI50)</f>
        <v>0</v>
      </c>
      <c r="AJ51" s="61">
        <f t="shared" si="43"/>
        <v>4811.2700000000004</v>
      </c>
      <c r="AK51" s="62" t="str">
        <f t="shared" si="44"/>
        <v/>
      </c>
      <c r="AL51" s="61">
        <f>(((((AL34)+(AL40))+(AL43))+(AL44))+(AL49))+(AL50)</f>
        <v>5156.95</v>
      </c>
      <c r="AM51" s="61">
        <f>(((((AM34)+(AM40))+(AM43))+(AM44))+(AM49))+(AM50)</f>
        <v>0</v>
      </c>
      <c r="AN51" s="61">
        <f t="shared" si="45"/>
        <v>5156.95</v>
      </c>
      <c r="AO51" s="62" t="str">
        <f t="shared" si="46"/>
        <v/>
      </c>
      <c r="AP51" s="61">
        <f>(((((AP34)+(AP40))+(AP43))+(AP44))+(AP49))+(AP50)</f>
        <v>3443.4100000000003</v>
      </c>
      <c r="AQ51" s="61">
        <f>(((((AQ34)+(AQ40))+(AQ43))+(AQ44))+(AQ49))+(AQ50)</f>
        <v>0</v>
      </c>
      <c r="AR51" s="61">
        <f t="shared" si="47"/>
        <v>3443.4100000000003</v>
      </c>
      <c r="AS51" s="62" t="str">
        <f t="shared" si="48"/>
        <v/>
      </c>
      <c r="AT51" s="61">
        <f>(((((AT34)+(AT40))+(AT43))+(AT44))+(AT49))+(AT50)</f>
        <v>6675.12</v>
      </c>
      <c r="AU51" s="61">
        <f>(((((AU34)+(AU40))+(AU43))+(AU44))+(AU49))+(AU50)</f>
        <v>0</v>
      </c>
      <c r="AV51" s="61">
        <f t="shared" si="49"/>
        <v>6675.12</v>
      </c>
      <c r="AW51" s="62" t="str">
        <f t="shared" si="50"/>
        <v/>
      </c>
      <c r="AX51" s="61">
        <f t="shared" si="51"/>
        <v>63696.570000000014</v>
      </c>
      <c r="AY51" s="61">
        <f t="shared" si="51"/>
        <v>0</v>
      </c>
      <c r="AZ51" s="61">
        <f t="shared" si="52"/>
        <v>63696.570000000014</v>
      </c>
      <c r="BA51" s="62" t="str">
        <f t="shared" si="53"/>
        <v/>
      </c>
    </row>
    <row r="52" spans="1:53" x14ac:dyDescent="0.3">
      <c r="A52" s="57" t="s">
        <v>131</v>
      </c>
      <c r="B52" s="59">
        <f>296.55</f>
        <v>296.55</v>
      </c>
      <c r="C52" s="58"/>
      <c r="D52" s="59">
        <f t="shared" si="27"/>
        <v>296.55</v>
      </c>
      <c r="E52" s="60" t="str">
        <f t="shared" si="28"/>
        <v/>
      </c>
      <c r="F52" s="59">
        <f>275.78</f>
        <v>275.77999999999997</v>
      </c>
      <c r="G52" s="58"/>
      <c r="H52" s="59">
        <f t="shared" si="29"/>
        <v>275.77999999999997</v>
      </c>
      <c r="I52" s="60" t="str">
        <f t="shared" si="30"/>
        <v/>
      </c>
      <c r="J52" s="59">
        <f>551.44</f>
        <v>551.44000000000005</v>
      </c>
      <c r="K52" s="58"/>
      <c r="L52" s="59">
        <f t="shared" si="31"/>
        <v>551.44000000000005</v>
      </c>
      <c r="M52" s="60" t="str">
        <f t="shared" si="32"/>
        <v/>
      </c>
      <c r="N52" s="58"/>
      <c r="O52" s="58"/>
      <c r="P52" s="59">
        <f t="shared" si="33"/>
        <v>0</v>
      </c>
      <c r="Q52" s="60" t="str">
        <f t="shared" si="34"/>
        <v/>
      </c>
      <c r="R52" s="59">
        <f>277.83</f>
        <v>277.83</v>
      </c>
      <c r="S52" s="58"/>
      <c r="T52" s="59">
        <f t="shared" si="35"/>
        <v>277.83</v>
      </c>
      <c r="U52" s="60" t="str">
        <f t="shared" si="36"/>
        <v/>
      </c>
      <c r="V52" s="59">
        <f>310.41</f>
        <v>310.41000000000003</v>
      </c>
      <c r="W52" s="58"/>
      <c r="X52" s="59">
        <f t="shared" si="37"/>
        <v>310.41000000000003</v>
      </c>
      <c r="Y52" s="60" t="str">
        <f t="shared" si="38"/>
        <v/>
      </c>
      <c r="Z52" s="59">
        <f>277.55</f>
        <v>277.55</v>
      </c>
      <c r="AA52" s="58"/>
      <c r="AB52" s="59">
        <f t="shared" si="39"/>
        <v>277.55</v>
      </c>
      <c r="AC52" s="60" t="str">
        <f t="shared" si="40"/>
        <v/>
      </c>
      <c r="AD52" s="59">
        <f>282.27</f>
        <v>282.27</v>
      </c>
      <c r="AE52" s="58"/>
      <c r="AF52" s="59">
        <f t="shared" si="41"/>
        <v>282.27</v>
      </c>
      <c r="AG52" s="60" t="str">
        <f t="shared" si="42"/>
        <v/>
      </c>
      <c r="AH52" s="59">
        <f>277.75</f>
        <v>277.75</v>
      </c>
      <c r="AI52" s="58"/>
      <c r="AJ52" s="59">
        <f t="shared" si="43"/>
        <v>277.75</v>
      </c>
      <c r="AK52" s="60" t="str">
        <f t="shared" si="44"/>
        <v/>
      </c>
      <c r="AL52" s="59">
        <f>277.3</f>
        <v>277.3</v>
      </c>
      <c r="AM52" s="58"/>
      <c r="AN52" s="59">
        <f t="shared" si="45"/>
        <v>277.3</v>
      </c>
      <c r="AO52" s="60" t="str">
        <f t="shared" si="46"/>
        <v/>
      </c>
      <c r="AP52" s="59">
        <f>324.01</f>
        <v>324.01</v>
      </c>
      <c r="AQ52" s="58"/>
      <c r="AR52" s="59">
        <f t="shared" si="47"/>
        <v>324.01</v>
      </c>
      <c r="AS52" s="60" t="str">
        <f t="shared" si="48"/>
        <v/>
      </c>
      <c r="AT52" s="59">
        <f>281.06</f>
        <v>281.06</v>
      </c>
      <c r="AU52" s="58"/>
      <c r="AV52" s="59">
        <f t="shared" si="49"/>
        <v>281.06</v>
      </c>
      <c r="AW52" s="60" t="str">
        <f t="shared" si="50"/>
        <v/>
      </c>
      <c r="AX52" s="59">
        <f t="shared" ref="AX52:AY83" si="54">(((((((((((B52)+(F52))+(J52))+(N52))+(R52))+(V52))+(Z52))+(AD52))+(AH52))+(AL52))+(AP52))+(AT52)</f>
        <v>3431.9500000000003</v>
      </c>
      <c r="AY52" s="59">
        <v>3500</v>
      </c>
      <c r="AZ52" s="59">
        <f t="shared" si="52"/>
        <v>-68.049999999999727</v>
      </c>
      <c r="BA52" s="60">
        <f t="shared" si="53"/>
        <v>0.9805571428571429</v>
      </c>
    </row>
    <row r="53" spans="1:53" x14ac:dyDescent="0.3">
      <c r="A53" s="57" t="s">
        <v>132</v>
      </c>
      <c r="B53" s="58"/>
      <c r="C53" s="58"/>
      <c r="D53" s="59">
        <f t="shared" si="27"/>
        <v>0</v>
      </c>
      <c r="E53" s="60" t="str">
        <f t="shared" si="28"/>
        <v/>
      </c>
      <c r="F53" s="58"/>
      <c r="G53" s="58"/>
      <c r="H53" s="59">
        <f t="shared" si="29"/>
        <v>0</v>
      </c>
      <c r="I53" s="60" t="str">
        <f t="shared" si="30"/>
        <v/>
      </c>
      <c r="J53" s="58"/>
      <c r="K53" s="58"/>
      <c r="L53" s="59">
        <f t="shared" si="31"/>
        <v>0</v>
      </c>
      <c r="M53" s="60" t="str">
        <f t="shared" si="32"/>
        <v/>
      </c>
      <c r="N53" s="58"/>
      <c r="O53" s="58"/>
      <c r="P53" s="59">
        <f t="shared" si="33"/>
        <v>0</v>
      </c>
      <c r="Q53" s="60" t="str">
        <f t="shared" si="34"/>
        <v/>
      </c>
      <c r="R53" s="58"/>
      <c r="S53" s="58"/>
      <c r="T53" s="59">
        <f t="shared" si="35"/>
        <v>0</v>
      </c>
      <c r="U53" s="60" t="str">
        <f t="shared" si="36"/>
        <v/>
      </c>
      <c r="V53" s="58"/>
      <c r="W53" s="58"/>
      <c r="X53" s="59">
        <f t="shared" si="37"/>
        <v>0</v>
      </c>
      <c r="Y53" s="60" t="str">
        <f t="shared" si="38"/>
        <v/>
      </c>
      <c r="Z53" s="58"/>
      <c r="AA53" s="58"/>
      <c r="AB53" s="59">
        <f t="shared" si="39"/>
        <v>0</v>
      </c>
      <c r="AC53" s="60" t="str">
        <f t="shared" si="40"/>
        <v/>
      </c>
      <c r="AD53" s="58"/>
      <c r="AE53" s="58"/>
      <c r="AF53" s="59">
        <f t="shared" si="41"/>
        <v>0</v>
      </c>
      <c r="AG53" s="60" t="str">
        <f t="shared" si="42"/>
        <v/>
      </c>
      <c r="AH53" s="59">
        <f>4461.06</f>
        <v>4461.0600000000004</v>
      </c>
      <c r="AI53" s="58"/>
      <c r="AJ53" s="59">
        <f t="shared" si="43"/>
        <v>4461.0600000000004</v>
      </c>
      <c r="AK53" s="60" t="str">
        <f t="shared" si="44"/>
        <v/>
      </c>
      <c r="AL53" s="58"/>
      <c r="AM53" s="58"/>
      <c r="AN53" s="59">
        <f t="shared" si="45"/>
        <v>0</v>
      </c>
      <c r="AO53" s="60" t="str">
        <f t="shared" si="46"/>
        <v/>
      </c>
      <c r="AP53" s="58"/>
      <c r="AQ53" s="58"/>
      <c r="AR53" s="59">
        <f t="shared" si="47"/>
        <v>0</v>
      </c>
      <c r="AS53" s="60" t="str">
        <f t="shared" si="48"/>
        <v/>
      </c>
      <c r="AT53" s="58"/>
      <c r="AU53" s="58"/>
      <c r="AV53" s="59">
        <f t="shared" si="49"/>
        <v>0</v>
      </c>
      <c r="AW53" s="60" t="str">
        <f t="shared" si="50"/>
        <v/>
      </c>
      <c r="AX53" s="59">
        <f t="shared" si="54"/>
        <v>4461.0600000000004</v>
      </c>
      <c r="AY53" s="59">
        <v>5500</v>
      </c>
      <c r="AZ53" s="59">
        <f t="shared" si="52"/>
        <v>-1038.9399999999996</v>
      </c>
      <c r="BA53" s="60">
        <f t="shared" si="53"/>
        <v>0.81110181818181826</v>
      </c>
    </row>
    <row r="54" spans="1:53" x14ac:dyDescent="0.3">
      <c r="A54" s="57" t="s">
        <v>133</v>
      </c>
      <c r="B54" s="58"/>
      <c r="C54" s="58"/>
      <c r="D54" s="59">
        <f t="shared" si="27"/>
        <v>0</v>
      </c>
      <c r="E54" s="60" t="str">
        <f t="shared" si="28"/>
        <v/>
      </c>
      <c r="F54" s="58"/>
      <c r="G54" s="58"/>
      <c r="H54" s="59">
        <f t="shared" si="29"/>
        <v>0</v>
      </c>
      <c r="I54" s="60" t="str">
        <f t="shared" si="30"/>
        <v/>
      </c>
      <c r="J54" s="58"/>
      <c r="K54" s="58"/>
      <c r="L54" s="59">
        <f t="shared" si="31"/>
        <v>0</v>
      </c>
      <c r="M54" s="60" t="str">
        <f t="shared" si="32"/>
        <v/>
      </c>
      <c r="N54" s="58"/>
      <c r="O54" s="58"/>
      <c r="P54" s="59">
        <f t="shared" si="33"/>
        <v>0</v>
      </c>
      <c r="Q54" s="60" t="str">
        <f t="shared" si="34"/>
        <v/>
      </c>
      <c r="R54" s="58"/>
      <c r="S54" s="58"/>
      <c r="T54" s="59">
        <f t="shared" si="35"/>
        <v>0</v>
      </c>
      <c r="U54" s="60" t="str">
        <f t="shared" si="36"/>
        <v/>
      </c>
      <c r="V54" s="58"/>
      <c r="W54" s="58"/>
      <c r="X54" s="59">
        <f t="shared" si="37"/>
        <v>0</v>
      </c>
      <c r="Y54" s="60" t="str">
        <f t="shared" si="38"/>
        <v/>
      </c>
      <c r="Z54" s="58"/>
      <c r="AA54" s="58"/>
      <c r="AB54" s="59">
        <f t="shared" si="39"/>
        <v>0</v>
      </c>
      <c r="AC54" s="60" t="str">
        <f t="shared" si="40"/>
        <v/>
      </c>
      <c r="AD54" s="58"/>
      <c r="AE54" s="58"/>
      <c r="AF54" s="59">
        <f t="shared" si="41"/>
        <v>0</v>
      </c>
      <c r="AG54" s="60" t="str">
        <f t="shared" si="42"/>
        <v/>
      </c>
      <c r="AH54" s="58"/>
      <c r="AI54" s="58"/>
      <c r="AJ54" s="59">
        <f t="shared" si="43"/>
        <v>0</v>
      </c>
      <c r="AK54" s="60" t="str">
        <f t="shared" si="44"/>
        <v/>
      </c>
      <c r="AL54" s="58"/>
      <c r="AM54" s="58"/>
      <c r="AN54" s="59">
        <f t="shared" si="45"/>
        <v>0</v>
      </c>
      <c r="AO54" s="60" t="str">
        <f t="shared" si="46"/>
        <v/>
      </c>
      <c r="AP54" s="58"/>
      <c r="AQ54" s="58"/>
      <c r="AR54" s="59">
        <f t="shared" si="47"/>
        <v>0</v>
      </c>
      <c r="AS54" s="60" t="str">
        <f t="shared" si="48"/>
        <v/>
      </c>
      <c r="AT54" s="58"/>
      <c r="AU54" s="58"/>
      <c r="AV54" s="59">
        <f t="shared" si="49"/>
        <v>0</v>
      </c>
      <c r="AW54" s="60" t="str">
        <f t="shared" si="50"/>
        <v/>
      </c>
      <c r="AX54" s="59">
        <f t="shared" si="54"/>
        <v>0</v>
      </c>
      <c r="AY54" s="59">
        <f t="shared" si="54"/>
        <v>0</v>
      </c>
      <c r="AZ54" s="59">
        <f t="shared" si="52"/>
        <v>0</v>
      </c>
      <c r="BA54" s="60" t="str">
        <f t="shared" si="53"/>
        <v/>
      </c>
    </row>
    <row r="55" spans="1:53" x14ac:dyDescent="0.3">
      <c r="A55" s="57" t="s">
        <v>88</v>
      </c>
      <c r="B55" s="59">
        <f>8563.17</f>
        <v>8563.17</v>
      </c>
      <c r="C55" s="58"/>
      <c r="D55" s="59">
        <f t="shared" si="27"/>
        <v>8563.17</v>
      </c>
      <c r="E55" s="60" t="str">
        <f t="shared" si="28"/>
        <v/>
      </c>
      <c r="F55" s="59">
        <f>896.96</f>
        <v>896.96</v>
      </c>
      <c r="G55" s="58"/>
      <c r="H55" s="59">
        <f t="shared" si="29"/>
        <v>896.96</v>
      </c>
      <c r="I55" s="60" t="str">
        <f t="shared" si="30"/>
        <v/>
      </c>
      <c r="J55" s="58"/>
      <c r="K55" s="58"/>
      <c r="L55" s="59">
        <f t="shared" si="31"/>
        <v>0</v>
      </c>
      <c r="M55" s="60" t="str">
        <f t="shared" si="32"/>
        <v/>
      </c>
      <c r="N55" s="58"/>
      <c r="O55" s="58"/>
      <c r="P55" s="59">
        <f t="shared" si="33"/>
        <v>0</v>
      </c>
      <c r="Q55" s="60" t="str">
        <f t="shared" si="34"/>
        <v/>
      </c>
      <c r="R55" s="58"/>
      <c r="S55" s="58"/>
      <c r="T55" s="59">
        <f t="shared" si="35"/>
        <v>0</v>
      </c>
      <c r="U55" s="60" t="str">
        <f t="shared" si="36"/>
        <v/>
      </c>
      <c r="V55" s="58"/>
      <c r="W55" s="58"/>
      <c r="X55" s="59">
        <f t="shared" si="37"/>
        <v>0</v>
      </c>
      <c r="Y55" s="60" t="str">
        <f t="shared" si="38"/>
        <v/>
      </c>
      <c r="Z55" s="58"/>
      <c r="AA55" s="58"/>
      <c r="AB55" s="59">
        <f t="shared" si="39"/>
        <v>0</v>
      </c>
      <c r="AC55" s="60" t="str">
        <f t="shared" si="40"/>
        <v/>
      </c>
      <c r="AD55" s="58"/>
      <c r="AE55" s="58"/>
      <c r="AF55" s="59">
        <f t="shared" si="41"/>
        <v>0</v>
      </c>
      <c r="AG55" s="60" t="str">
        <f t="shared" si="42"/>
        <v/>
      </c>
      <c r="AH55" s="58"/>
      <c r="AI55" s="58"/>
      <c r="AJ55" s="59">
        <f t="shared" si="43"/>
        <v>0</v>
      </c>
      <c r="AK55" s="60" t="str">
        <f t="shared" si="44"/>
        <v/>
      </c>
      <c r="AL55" s="59">
        <f>407.99</f>
        <v>407.99</v>
      </c>
      <c r="AM55" s="58"/>
      <c r="AN55" s="59">
        <f t="shared" si="45"/>
        <v>407.99</v>
      </c>
      <c r="AO55" s="60" t="str">
        <f t="shared" si="46"/>
        <v/>
      </c>
      <c r="AP55" s="59">
        <f>-2000</f>
        <v>-2000</v>
      </c>
      <c r="AQ55" s="58"/>
      <c r="AR55" s="59">
        <f t="shared" si="47"/>
        <v>-2000</v>
      </c>
      <c r="AS55" s="60" t="str">
        <f t="shared" si="48"/>
        <v/>
      </c>
      <c r="AT55" s="58"/>
      <c r="AU55" s="58"/>
      <c r="AV55" s="59">
        <f t="shared" si="49"/>
        <v>0</v>
      </c>
      <c r="AW55" s="60" t="str">
        <f t="shared" si="50"/>
        <v/>
      </c>
      <c r="AX55" s="59">
        <f t="shared" si="54"/>
        <v>7868.1200000000008</v>
      </c>
      <c r="AY55" s="59">
        <v>9200</v>
      </c>
      <c r="AZ55" s="59">
        <f t="shared" si="52"/>
        <v>-1331.8799999999992</v>
      </c>
      <c r="BA55" s="60">
        <f t="shared" si="53"/>
        <v>0.85523043478260874</v>
      </c>
    </row>
    <row r="56" spans="1:53" x14ac:dyDescent="0.3">
      <c r="A56" s="57" t="s">
        <v>134</v>
      </c>
      <c r="B56" s="58"/>
      <c r="C56" s="58"/>
      <c r="D56" s="59">
        <f t="shared" si="27"/>
        <v>0</v>
      </c>
      <c r="E56" s="60" t="str">
        <f t="shared" si="28"/>
        <v/>
      </c>
      <c r="F56" s="58"/>
      <c r="G56" s="58"/>
      <c r="H56" s="59">
        <f t="shared" si="29"/>
        <v>0</v>
      </c>
      <c r="I56" s="60" t="str">
        <f t="shared" si="30"/>
        <v/>
      </c>
      <c r="J56" s="58"/>
      <c r="K56" s="58"/>
      <c r="L56" s="59">
        <f t="shared" si="31"/>
        <v>0</v>
      </c>
      <c r="M56" s="60" t="str">
        <f t="shared" si="32"/>
        <v/>
      </c>
      <c r="N56" s="58"/>
      <c r="O56" s="58"/>
      <c r="P56" s="59">
        <f t="shared" si="33"/>
        <v>0</v>
      </c>
      <c r="Q56" s="60" t="str">
        <f t="shared" si="34"/>
        <v/>
      </c>
      <c r="R56" s="58"/>
      <c r="S56" s="58"/>
      <c r="T56" s="59">
        <f t="shared" si="35"/>
        <v>0</v>
      </c>
      <c r="U56" s="60" t="str">
        <f t="shared" si="36"/>
        <v/>
      </c>
      <c r="V56" s="58"/>
      <c r="W56" s="58"/>
      <c r="X56" s="59">
        <f t="shared" si="37"/>
        <v>0</v>
      </c>
      <c r="Y56" s="60" t="str">
        <f t="shared" si="38"/>
        <v/>
      </c>
      <c r="Z56" s="58"/>
      <c r="AA56" s="58"/>
      <c r="AB56" s="59">
        <f t="shared" si="39"/>
        <v>0</v>
      </c>
      <c r="AC56" s="60" t="str">
        <f t="shared" si="40"/>
        <v/>
      </c>
      <c r="AD56" s="58"/>
      <c r="AE56" s="58"/>
      <c r="AF56" s="59">
        <f t="shared" si="41"/>
        <v>0</v>
      </c>
      <c r="AG56" s="60" t="str">
        <f t="shared" si="42"/>
        <v/>
      </c>
      <c r="AH56" s="59">
        <f>3500</f>
        <v>3500</v>
      </c>
      <c r="AI56" s="58"/>
      <c r="AJ56" s="59">
        <f t="shared" si="43"/>
        <v>3500</v>
      </c>
      <c r="AK56" s="60" t="str">
        <f t="shared" si="44"/>
        <v/>
      </c>
      <c r="AL56" s="59">
        <f>-2973</f>
        <v>-2973</v>
      </c>
      <c r="AM56" s="58"/>
      <c r="AN56" s="59">
        <f t="shared" si="45"/>
        <v>-2973</v>
      </c>
      <c r="AO56" s="60" t="str">
        <f t="shared" si="46"/>
        <v/>
      </c>
      <c r="AP56" s="59">
        <f>-2000</f>
        <v>-2000</v>
      </c>
      <c r="AQ56" s="58"/>
      <c r="AR56" s="59">
        <f t="shared" si="47"/>
        <v>-2000</v>
      </c>
      <c r="AS56" s="60" t="str">
        <f t="shared" si="48"/>
        <v/>
      </c>
      <c r="AT56" s="58"/>
      <c r="AU56" s="58"/>
      <c r="AV56" s="59">
        <f t="shared" si="49"/>
        <v>0</v>
      </c>
      <c r="AW56" s="60" t="str">
        <f t="shared" si="50"/>
        <v/>
      </c>
      <c r="AX56" s="59">
        <f t="shared" si="54"/>
        <v>-1473</v>
      </c>
      <c r="AY56" s="59">
        <v>3000</v>
      </c>
      <c r="AZ56" s="59">
        <f t="shared" si="52"/>
        <v>-4473</v>
      </c>
      <c r="BA56" s="60">
        <f t="shared" si="53"/>
        <v>-0.49099999999999999</v>
      </c>
    </row>
    <row r="57" spans="1:53" x14ac:dyDescent="0.3">
      <c r="A57" s="57" t="s">
        <v>89</v>
      </c>
      <c r="B57" s="58"/>
      <c r="C57" s="58"/>
      <c r="D57" s="59">
        <f t="shared" si="27"/>
        <v>0</v>
      </c>
      <c r="E57" s="60" t="str">
        <f t="shared" si="28"/>
        <v/>
      </c>
      <c r="F57" s="58"/>
      <c r="G57" s="58"/>
      <c r="H57" s="59">
        <f t="shared" si="29"/>
        <v>0</v>
      </c>
      <c r="I57" s="60" t="str">
        <f t="shared" si="30"/>
        <v/>
      </c>
      <c r="J57" s="58"/>
      <c r="K57" s="58"/>
      <c r="L57" s="59">
        <f t="shared" si="31"/>
        <v>0</v>
      </c>
      <c r="M57" s="60" t="str">
        <f t="shared" si="32"/>
        <v/>
      </c>
      <c r="N57" s="58"/>
      <c r="O57" s="58"/>
      <c r="P57" s="59">
        <f t="shared" si="33"/>
        <v>0</v>
      </c>
      <c r="Q57" s="60" t="str">
        <f t="shared" si="34"/>
        <v/>
      </c>
      <c r="R57" s="59">
        <f>208.79</f>
        <v>208.79</v>
      </c>
      <c r="S57" s="58"/>
      <c r="T57" s="59">
        <f t="shared" si="35"/>
        <v>208.79</v>
      </c>
      <c r="U57" s="60" t="str">
        <f t="shared" si="36"/>
        <v/>
      </c>
      <c r="V57" s="58"/>
      <c r="W57" s="58"/>
      <c r="X57" s="59">
        <f t="shared" si="37"/>
        <v>0</v>
      </c>
      <c r="Y57" s="60" t="str">
        <f t="shared" si="38"/>
        <v/>
      </c>
      <c r="Z57" s="58"/>
      <c r="AA57" s="58"/>
      <c r="AB57" s="59">
        <f t="shared" si="39"/>
        <v>0</v>
      </c>
      <c r="AC57" s="60" t="str">
        <f t="shared" si="40"/>
        <v/>
      </c>
      <c r="AD57" s="58"/>
      <c r="AE57" s="58"/>
      <c r="AF57" s="59">
        <f t="shared" si="41"/>
        <v>0</v>
      </c>
      <c r="AG57" s="60" t="str">
        <f t="shared" si="42"/>
        <v/>
      </c>
      <c r="AH57" s="58"/>
      <c r="AI57" s="58"/>
      <c r="AJ57" s="59">
        <f t="shared" si="43"/>
        <v>0</v>
      </c>
      <c r="AK57" s="60" t="str">
        <f t="shared" si="44"/>
        <v/>
      </c>
      <c r="AL57" s="59">
        <f>-0.1</f>
        <v>-0.1</v>
      </c>
      <c r="AM57" s="58"/>
      <c r="AN57" s="59">
        <f t="shared" si="45"/>
        <v>-0.1</v>
      </c>
      <c r="AO57" s="60" t="str">
        <f t="shared" si="46"/>
        <v/>
      </c>
      <c r="AP57" s="58"/>
      <c r="AQ57" s="58"/>
      <c r="AR57" s="59">
        <f t="shared" si="47"/>
        <v>0</v>
      </c>
      <c r="AS57" s="60" t="str">
        <f t="shared" si="48"/>
        <v/>
      </c>
      <c r="AT57" s="59">
        <f>20</f>
        <v>20</v>
      </c>
      <c r="AU57" s="58"/>
      <c r="AV57" s="59">
        <f t="shared" si="49"/>
        <v>20</v>
      </c>
      <c r="AW57" s="60" t="str">
        <f t="shared" si="50"/>
        <v/>
      </c>
      <c r="AX57" s="59">
        <f t="shared" si="54"/>
        <v>228.69</v>
      </c>
      <c r="AY57" s="59">
        <v>500</v>
      </c>
      <c r="AZ57" s="59">
        <f t="shared" si="52"/>
        <v>-271.31</v>
      </c>
      <c r="BA57" s="60">
        <f t="shared" si="53"/>
        <v>0.45738000000000001</v>
      </c>
    </row>
    <row r="58" spans="1:53" x14ac:dyDescent="0.3">
      <c r="A58" s="57" t="s">
        <v>135</v>
      </c>
      <c r="B58" s="61">
        <f>(((B54)+(B55))+(B56))+(B57)</f>
        <v>8563.17</v>
      </c>
      <c r="C58" s="61">
        <f>(((C54)+(C55))+(C56))+(C57)</f>
        <v>0</v>
      </c>
      <c r="D58" s="61">
        <f t="shared" si="27"/>
        <v>8563.17</v>
      </c>
      <c r="E58" s="62" t="str">
        <f t="shared" si="28"/>
        <v/>
      </c>
      <c r="F58" s="61">
        <f>(((F54)+(F55))+(F56))+(F57)</f>
        <v>896.96</v>
      </c>
      <c r="G58" s="61">
        <f>(((G54)+(G55))+(G56))+(G57)</f>
        <v>0</v>
      </c>
      <c r="H58" s="61">
        <f t="shared" si="29"/>
        <v>896.96</v>
      </c>
      <c r="I58" s="62" t="str">
        <f t="shared" si="30"/>
        <v/>
      </c>
      <c r="J58" s="61">
        <f>(((J54)+(J55))+(J56))+(J57)</f>
        <v>0</v>
      </c>
      <c r="K58" s="61">
        <f>(((K54)+(K55))+(K56))+(K57)</f>
        <v>0</v>
      </c>
      <c r="L58" s="61">
        <f t="shared" si="31"/>
        <v>0</v>
      </c>
      <c r="M58" s="62" t="str">
        <f t="shared" si="32"/>
        <v/>
      </c>
      <c r="N58" s="61">
        <f>(((N54)+(N55))+(N56))+(N57)</f>
        <v>0</v>
      </c>
      <c r="O58" s="61">
        <f>(((O54)+(O55))+(O56))+(O57)</f>
        <v>0</v>
      </c>
      <c r="P58" s="61">
        <f t="shared" si="33"/>
        <v>0</v>
      </c>
      <c r="Q58" s="62" t="str">
        <f t="shared" si="34"/>
        <v/>
      </c>
      <c r="R58" s="61">
        <f>(((R54)+(R55))+(R56))+(R57)</f>
        <v>208.79</v>
      </c>
      <c r="S58" s="61">
        <f>(((S54)+(S55))+(S56))+(S57)</f>
        <v>0</v>
      </c>
      <c r="T58" s="61">
        <f t="shared" si="35"/>
        <v>208.79</v>
      </c>
      <c r="U58" s="62" t="str">
        <f t="shared" si="36"/>
        <v/>
      </c>
      <c r="V58" s="61">
        <f>(((V54)+(V55))+(V56))+(V57)</f>
        <v>0</v>
      </c>
      <c r="W58" s="61">
        <f>(((W54)+(W55))+(W56))+(W57)</f>
        <v>0</v>
      </c>
      <c r="X58" s="61">
        <f t="shared" si="37"/>
        <v>0</v>
      </c>
      <c r="Y58" s="62" t="str">
        <f t="shared" si="38"/>
        <v/>
      </c>
      <c r="Z58" s="61">
        <f>(((Z54)+(Z55))+(Z56))+(Z57)</f>
        <v>0</v>
      </c>
      <c r="AA58" s="61">
        <f>(((AA54)+(AA55))+(AA56))+(AA57)</f>
        <v>0</v>
      </c>
      <c r="AB58" s="61">
        <f t="shared" si="39"/>
        <v>0</v>
      </c>
      <c r="AC58" s="62" t="str">
        <f t="shared" si="40"/>
        <v/>
      </c>
      <c r="AD58" s="61">
        <f>(((AD54)+(AD55))+(AD56))+(AD57)</f>
        <v>0</v>
      </c>
      <c r="AE58" s="61">
        <f>(((AE54)+(AE55))+(AE56))+(AE57)</f>
        <v>0</v>
      </c>
      <c r="AF58" s="61">
        <f t="shared" si="41"/>
        <v>0</v>
      </c>
      <c r="AG58" s="62" t="str">
        <f t="shared" si="42"/>
        <v/>
      </c>
      <c r="AH58" s="61">
        <f>(((AH54)+(AH55))+(AH56))+(AH57)</f>
        <v>3500</v>
      </c>
      <c r="AI58" s="61">
        <f>(((AI54)+(AI55))+(AI56))+(AI57)</f>
        <v>0</v>
      </c>
      <c r="AJ58" s="61">
        <f t="shared" si="43"/>
        <v>3500</v>
      </c>
      <c r="AK58" s="62" t="str">
        <f t="shared" si="44"/>
        <v/>
      </c>
      <c r="AL58" s="61">
        <f>(((AL54)+(AL55))+(AL56))+(AL57)</f>
        <v>-2565.11</v>
      </c>
      <c r="AM58" s="61">
        <f>(((AM54)+(AM55))+(AM56))+(AM57)</f>
        <v>0</v>
      </c>
      <c r="AN58" s="61">
        <f t="shared" si="45"/>
        <v>-2565.11</v>
      </c>
      <c r="AO58" s="62" t="str">
        <f t="shared" si="46"/>
        <v/>
      </c>
      <c r="AP58" s="61">
        <f>(((AP54)+(AP55))+(AP56))+(AP57)</f>
        <v>-4000</v>
      </c>
      <c r="AQ58" s="61">
        <f>(((AQ54)+(AQ55))+(AQ56))+(AQ57)</f>
        <v>0</v>
      </c>
      <c r="AR58" s="61">
        <f t="shared" si="47"/>
        <v>-4000</v>
      </c>
      <c r="AS58" s="62" t="str">
        <f t="shared" si="48"/>
        <v/>
      </c>
      <c r="AT58" s="61">
        <f>(((AT54)+(AT55))+(AT56))+(AT57)</f>
        <v>20</v>
      </c>
      <c r="AU58" s="61">
        <f>(((AU54)+(AU55))+(AU56))+(AU57)</f>
        <v>0</v>
      </c>
      <c r="AV58" s="61">
        <f t="shared" si="49"/>
        <v>20</v>
      </c>
      <c r="AW58" s="62" t="str">
        <f t="shared" si="50"/>
        <v/>
      </c>
      <c r="AX58" s="61">
        <f t="shared" si="54"/>
        <v>6623.8100000000013</v>
      </c>
      <c r="AY58" s="61">
        <f t="shared" si="54"/>
        <v>0</v>
      </c>
      <c r="AZ58" s="61">
        <f t="shared" si="52"/>
        <v>6623.8100000000013</v>
      </c>
      <c r="BA58" s="62" t="str">
        <f t="shared" si="53"/>
        <v/>
      </c>
    </row>
    <row r="59" spans="1:53" x14ac:dyDescent="0.3">
      <c r="A59" s="57" t="s">
        <v>136</v>
      </c>
      <c r="B59" s="59">
        <f>203.85</f>
        <v>203.85</v>
      </c>
      <c r="C59" s="58"/>
      <c r="D59" s="59">
        <f t="shared" si="27"/>
        <v>203.85</v>
      </c>
      <c r="E59" s="60" t="str">
        <f t="shared" si="28"/>
        <v/>
      </c>
      <c r="F59" s="59">
        <f>77.73</f>
        <v>77.73</v>
      </c>
      <c r="G59" s="58"/>
      <c r="H59" s="59">
        <f t="shared" si="29"/>
        <v>77.73</v>
      </c>
      <c r="I59" s="60" t="str">
        <f t="shared" si="30"/>
        <v/>
      </c>
      <c r="J59" s="59">
        <f>13.98</f>
        <v>13.98</v>
      </c>
      <c r="K59" s="58"/>
      <c r="L59" s="59">
        <f t="shared" si="31"/>
        <v>13.98</v>
      </c>
      <c r="M59" s="60" t="str">
        <f t="shared" si="32"/>
        <v/>
      </c>
      <c r="N59" s="59">
        <f>154.95</f>
        <v>154.94999999999999</v>
      </c>
      <c r="O59" s="58"/>
      <c r="P59" s="59">
        <f t="shared" si="33"/>
        <v>154.94999999999999</v>
      </c>
      <c r="Q59" s="60" t="str">
        <f t="shared" si="34"/>
        <v/>
      </c>
      <c r="R59" s="59">
        <f>254.41</f>
        <v>254.41</v>
      </c>
      <c r="S59" s="58"/>
      <c r="T59" s="59">
        <f t="shared" si="35"/>
        <v>254.41</v>
      </c>
      <c r="U59" s="60" t="str">
        <f t="shared" si="36"/>
        <v/>
      </c>
      <c r="V59" s="59">
        <f>72.89</f>
        <v>72.89</v>
      </c>
      <c r="W59" s="58"/>
      <c r="X59" s="59">
        <f t="shared" si="37"/>
        <v>72.89</v>
      </c>
      <c r="Y59" s="60" t="str">
        <f t="shared" si="38"/>
        <v/>
      </c>
      <c r="Z59" s="59">
        <f>45.05</f>
        <v>45.05</v>
      </c>
      <c r="AA59" s="58"/>
      <c r="AB59" s="59">
        <f t="shared" si="39"/>
        <v>45.05</v>
      </c>
      <c r="AC59" s="60" t="str">
        <f t="shared" si="40"/>
        <v/>
      </c>
      <c r="AD59" s="58"/>
      <c r="AE59" s="58"/>
      <c r="AF59" s="59">
        <f t="shared" si="41"/>
        <v>0</v>
      </c>
      <c r="AG59" s="60" t="str">
        <f t="shared" si="42"/>
        <v/>
      </c>
      <c r="AH59" s="59">
        <f>82.59</f>
        <v>82.59</v>
      </c>
      <c r="AI59" s="58"/>
      <c r="AJ59" s="59">
        <f t="shared" si="43"/>
        <v>82.59</v>
      </c>
      <c r="AK59" s="60" t="str">
        <f t="shared" si="44"/>
        <v/>
      </c>
      <c r="AL59" s="59">
        <f>54.99</f>
        <v>54.99</v>
      </c>
      <c r="AM59" s="58"/>
      <c r="AN59" s="59">
        <f t="shared" si="45"/>
        <v>54.99</v>
      </c>
      <c r="AO59" s="60" t="str">
        <f t="shared" si="46"/>
        <v/>
      </c>
      <c r="AP59" s="58"/>
      <c r="AQ59" s="58"/>
      <c r="AR59" s="59">
        <f t="shared" si="47"/>
        <v>0</v>
      </c>
      <c r="AS59" s="60" t="str">
        <f t="shared" si="48"/>
        <v/>
      </c>
      <c r="AT59" s="59">
        <f>182.7</f>
        <v>182.7</v>
      </c>
      <c r="AU59" s="58"/>
      <c r="AV59" s="59">
        <f t="shared" si="49"/>
        <v>182.7</v>
      </c>
      <c r="AW59" s="60" t="str">
        <f t="shared" si="50"/>
        <v/>
      </c>
      <c r="AX59" s="59">
        <f t="shared" si="54"/>
        <v>1143.1399999999999</v>
      </c>
      <c r="AY59" s="59">
        <v>1000</v>
      </c>
      <c r="AZ59" s="59">
        <f t="shared" si="52"/>
        <v>143.13999999999987</v>
      </c>
      <c r="BA59" s="60">
        <f t="shared" si="53"/>
        <v>1.1431399999999998</v>
      </c>
    </row>
    <row r="60" spans="1:53" x14ac:dyDescent="0.3">
      <c r="A60" s="57" t="s">
        <v>137</v>
      </c>
      <c r="B60" s="58"/>
      <c r="C60" s="58"/>
      <c r="D60" s="59">
        <f t="shared" si="27"/>
        <v>0</v>
      </c>
      <c r="E60" s="60" t="str">
        <f t="shared" si="28"/>
        <v/>
      </c>
      <c r="F60" s="59">
        <f>28</f>
        <v>28</v>
      </c>
      <c r="G60" s="58"/>
      <c r="H60" s="59">
        <f t="shared" si="29"/>
        <v>28</v>
      </c>
      <c r="I60" s="60" t="str">
        <f t="shared" si="30"/>
        <v/>
      </c>
      <c r="J60" s="59">
        <f>10</f>
        <v>10</v>
      </c>
      <c r="K60" s="58"/>
      <c r="L60" s="59">
        <f t="shared" si="31"/>
        <v>10</v>
      </c>
      <c r="M60" s="60" t="str">
        <f t="shared" si="32"/>
        <v/>
      </c>
      <c r="N60" s="59">
        <f>17</f>
        <v>17</v>
      </c>
      <c r="O60" s="58"/>
      <c r="P60" s="59">
        <f t="shared" si="33"/>
        <v>17</v>
      </c>
      <c r="Q60" s="60" t="str">
        <f t="shared" si="34"/>
        <v/>
      </c>
      <c r="R60" s="58"/>
      <c r="S60" s="58"/>
      <c r="T60" s="59">
        <f t="shared" si="35"/>
        <v>0</v>
      </c>
      <c r="U60" s="60" t="str">
        <f t="shared" si="36"/>
        <v/>
      </c>
      <c r="V60" s="58"/>
      <c r="W60" s="58"/>
      <c r="X60" s="59">
        <f t="shared" si="37"/>
        <v>0</v>
      </c>
      <c r="Y60" s="60" t="str">
        <f t="shared" si="38"/>
        <v/>
      </c>
      <c r="Z60" s="59">
        <f>9.34</f>
        <v>9.34</v>
      </c>
      <c r="AA60" s="58"/>
      <c r="AB60" s="59">
        <f t="shared" si="39"/>
        <v>9.34</v>
      </c>
      <c r="AC60" s="60" t="str">
        <f t="shared" si="40"/>
        <v/>
      </c>
      <c r="AD60" s="59">
        <f>19.57</f>
        <v>19.57</v>
      </c>
      <c r="AE60" s="58"/>
      <c r="AF60" s="59">
        <f t="shared" si="41"/>
        <v>19.57</v>
      </c>
      <c r="AG60" s="60" t="str">
        <f t="shared" si="42"/>
        <v/>
      </c>
      <c r="AH60" s="58"/>
      <c r="AI60" s="58"/>
      <c r="AJ60" s="59">
        <f t="shared" si="43"/>
        <v>0</v>
      </c>
      <c r="AK60" s="60" t="str">
        <f t="shared" si="44"/>
        <v/>
      </c>
      <c r="AL60" s="59">
        <f>15</f>
        <v>15</v>
      </c>
      <c r="AM60" s="58"/>
      <c r="AN60" s="59">
        <f t="shared" si="45"/>
        <v>15</v>
      </c>
      <c r="AO60" s="60" t="str">
        <f t="shared" si="46"/>
        <v/>
      </c>
      <c r="AP60" s="59">
        <f>29.95</f>
        <v>29.95</v>
      </c>
      <c r="AQ60" s="58"/>
      <c r="AR60" s="59">
        <f t="shared" si="47"/>
        <v>29.95</v>
      </c>
      <c r="AS60" s="60" t="str">
        <f t="shared" si="48"/>
        <v/>
      </c>
      <c r="AT60" s="58"/>
      <c r="AU60" s="58"/>
      <c r="AV60" s="59">
        <f t="shared" si="49"/>
        <v>0</v>
      </c>
      <c r="AW60" s="60" t="str">
        <f t="shared" si="50"/>
        <v/>
      </c>
      <c r="AX60" s="59">
        <f t="shared" si="54"/>
        <v>128.85999999999999</v>
      </c>
      <c r="AY60" s="59">
        <v>300</v>
      </c>
      <c r="AZ60" s="59">
        <f t="shared" si="52"/>
        <v>-171.14000000000001</v>
      </c>
      <c r="BA60" s="60">
        <f t="shared" si="53"/>
        <v>0.42953333333333327</v>
      </c>
    </row>
    <row r="61" spans="1:53" x14ac:dyDescent="0.3">
      <c r="A61" s="57" t="s">
        <v>138</v>
      </c>
      <c r="B61" s="58"/>
      <c r="C61" s="58"/>
      <c r="D61" s="59">
        <f t="shared" si="27"/>
        <v>0</v>
      </c>
      <c r="E61" s="60" t="str">
        <f t="shared" si="28"/>
        <v/>
      </c>
      <c r="F61" s="58"/>
      <c r="G61" s="58"/>
      <c r="H61" s="59">
        <f t="shared" si="29"/>
        <v>0</v>
      </c>
      <c r="I61" s="60" t="str">
        <f t="shared" si="30"/>
        <v/>
      </c>
      <c r="J61" s="58"/>
      <c r="K61" s="58"/>
      <c r="L61" s="59">
        <f t="shared" si="31"/>
        <v>0</v>
      </c>
      <c r="M61" s="60" t="str">
        <f t="shared" si="32"/>
        <v/>
      </c>
      <c r="N61" s="58"/>
      <c r="O61" s="58"/>
      <c r="P61" s="59">
        <f t="shared" si="33"/>
        <v>0</v>
      </c>
      <c r="Q61" s="60" t="str">
        <f t="shared" si="34"/>
        <v/>
      </c>
      <c r="R61" s="58"/>
      <c r="S61" s="58"/>
      <c r="T61" s="59">
        <f t="shared" si="35"/>
        <v>0</v>
      </c>
      <c r="U61" s="60" t="str">
        <f t="shared" si="36"/>
        <v/>
      </c>
      <c r="V61" s="58"/>
      <c r="W61" s="58"/>
      <c r="X61" s="59">
        <f t="shared" si="37"/>
        <v>0</v>
      </c>
      <c r="Y61" s="60" t="str">
        <f t="shared" si="38"/>
        <v/>
      </c>
      <c r="Z61" s="58"/>
      <c r="AA61" s="58"/>
      <c r="AB61" s="59">
        <f t="shared" si="39"/>
        <v>0</v>
      </c>
      <c r="AC61" s="60" t="str">
        <f t="shared" si="40"/>
        <v/>
      </c>
      <c r="AD61" s="58"/>
      <c r="AE61" s="58"/>
      <c r="AF61" s="59">
        <f t="shared" si="41"/>
        <v>0</v>
      </c>
      <c r="AG61" s="60" t="str">
        <f t="shared" si="42"/>
        <v/>
      </c>
      <c r="AH61" s="58"/>
      <c r="AI61" s="58"/>
      <c r="AJ61" s="59">
        <f t="shared" si="43"/>
        <v>0</v>
      </c>
      <c r="AK61" s="60" t="str">
        <f t="shared" si="44"/>
        <v/>
      </c>
      <c r="AL61" s="58"/>
      <c r="AM61" s="58"/>
      <c r="AN61" s="59">
        <f t="shared" si="45"/>
        <v>0</v>
      </c>
      <c r="AO61" s="60" t="str">
        <f t="shared" si="46"/>
        <v/>
      </c>
      <c r="AP61" s="58"/>
      <c r="AQ61" s="58"/>
      <c r="AR61" s="59">
        <f t="shared" si="47"/>
        <v>0</v>
      </c>
      <c r="AS61" s="60" t="str">
        <f t="shared" si="48"/>
        <v/>
      </c>
      <c r="AT61" s="58"/>
      <c r="AU61" s="58"/>
      <c r="AV61" s="59">
        <f t="shared" si="49"/>
        <v>0</v>
      </c>
      <c r="AW61" s="60" t="str">
        <f t="shared" si="50"/>
        <v/>
      </c>
      <c r="AX61" s="59">
        <f t="shared" si="54"/>
        <v>0</v>
      </c>
      <c r="AY61" s="59">
        <f t="shared" si="54"/>
        <v>0</v>
      </c>
      <c r="AZ61" s="59">
        <f t="shared" si="52"/>
        <v>0</v>
      </c>
      <c r="BA61" s="60" t="str">
        <f t="shared" si="53"/>
        <v/>
      </c>
    </row>
    <row r="62" spans="1:53" x14ac:dyDescent="0.3">
      <c r="A62" s="57" t="s">
        <v>139</v>
      </c>
      <c r="B62" s="58"/>
      <c r="C62" s="58"/>
      <c r="D62" s="59">
        <f t="shared" si="27"/>
        <v>0</v>
      </c>
      <c r="E62" s="60" t="str">
        <f t="shared" si="28"/>
        <v/>
      </c>
      <c r="F62" s="58"/>
      <c r="G62" s="58"/>
      <c r="H62" s="59">
        <f t="shared" si="29"/>
        <v>0</v>
      </c>
      <c r="I62" s="60" t="str">
        <f t="shared" si="30"/>
        <v/>
      </c>
      <c r="J62" s="58"/>
      <c r="K62" s="58"/>
      <c r="L62" s="59">
        <f t="shared" si="31"/>
        <v>0</v>
      </c>
      <c r="M62" s="60" t="str">
        <f t="shared" si="32"/>
        <v/>
      </c>
      <c r="N62" s="58"/>
      <c r="O62" s="58"/>
      <c r="P62" s="59">
        <f t="shared" si="33"/>
        <v>0</v>
      </c>
      <c r="Q62" s="60" t="str">
        <f t="shared" si="34"/>
        <v/>
      </c>
      <c r="R62" s="58"/>
      <c r="S62" s="58"/>
      <c r="T62" s="59">
        <f t="shared" si="35"/>
        <v>0</v>
      </c>
      <c r="U62" s="60" t="str">
        <f t="shared" si="36"/>
        <v/>
      </c>
      <c r="V62" s="58"/>
      <c r="W62" s="58"/>
      <c r="X62" s="59">
        <f t="shared" si="37"/>
        <v>0</v>
      </c>
      <c r="Y62" s="60" t="str">
        <f t="shared" si="38"/>
        <v/>
      </c>
      <c r="Z62" s="58"/>
      <c r="AA62" s="58"/>
      <c r="AB62" s="59">
        <f t="shared" si="39"/>
        <v>0</v>
      </c>
      <c r="AC62" s="60" t="str">
        <f t="shared" si="40"/>
        <v/>
      </c>
      <c r="AD62" s="58"/>
      <c r="AE62" s="58"/>
      <c r="AF62" s="59">
        <f t="shared" si="41"/>
        <v>0</v>
      </c>
      <c r="AG62" s="60" t="str">
        <f t="shared" si="42"/>
        <v/>
      </c>
      <c r="AH62" s="59">
        <f>700</f>
        <v>700</v>
      </c>
      <c r="AI62" s="58"/>
      <c r="AJ62" s="59">
        <f t="shared" si="43"/>
        <v>700</v>
      </c>
      <c r="AK62" s="60" t="str">
        <f t="shared" si="44"/>
        <v/>
      </c>
      <c r="AL62" s="58"/>
      <c r="AM62" s="58"/>
      <c r="AN62" s="59">
        <f t="shared" si="45"/>
        <v>0</v>
      </c>
      <c r="AO62" s="60" t="str">
        <f t="shared" si="46"/>
        <v/>
      </c>
      <c r="AP62" s="58"/>
      <c r="AQ62" s="58"/>
      <c r="AR62" s="59">
        <f t="shared" si="47"/>
        <v>0</v>
      </c>
      <c r="AS62" s="60" t="str">
        <f t="shared" si="48"/>
        <v/>
      </c>
      <c r="AT62" s="58"/>
      <c r="AU62" s="58"/>
      <c r="AV62" s="59">
        <f t="shared" si="49"/>
        <v>0</v>
      </c>
      <c r="AW62" s="60" t="str">
        <f t="shared" si="50"/>
        <v/>
      </c>
      <c r="AX62" s="59">
        <f t="shared" si="54"/>
        <v>700</v>
      </c>
      <c r="AY62" s="59">
        <v>3000</v>
      </c>
      <c r="AZ62" s="59">
        <f t="shared" si="52"/>
        <v>-2300</v>
      </c>
      <c r="BA62" s="60">
        <f t="shared" si="53"/>
        <v>0.23333333333333334</v>
      </c>
    </row>
    <row r="63" spans="1:53" x14ac:dyDescent="0.3">
      <c r="A63" s="57" t="s">
        <v>140</v>
      </c>
      <c r="B63" s="58"/>
      <c r="C63" s="58"/>
      <c r="D63" s="59">
        <f t="shared" si="27"/>
        <v>0</v>
      </c>
      <c r="E63" s="60" t="str">
        <f t="shared" si="28"/>
        <v/>
      </c>
      <c r="F63" s="59">
        <f>1390</f>
        <v>1390</v>
      </c>
      <c r="G63" s="58"/>
      <c r="H63" s="59">
        <f t="shared" si="29"/>
        <v>1390</v>
      </c>
      <c r="I63" s="60" t="str">
        <f t="shared" si="30"/>
        <v/>
      </c>
      <c r="J63" s="59">
        <f>695</f>
        <v>695</v>
      </c>
      <c r="K63" s="58"/>
      <c r="L63" s="59">
        <f t="shared" si="31"/>
        <v>695</v>
      </c>
      <c r="M63" s="60" t="str">
        <f t="shared" si="32"/>
        <v/>
      </c>
      <c r="N63" s="58"/>
      <c r="O63" s="58"/>
      <c r="P63" s="59">
        <f t="shared" si="33"/>
        <v>0</v>
      </c>
      <c r="Q63" s="60" t="str">
        <f t="shared" si="34"/>
        <v/>
      </c>
      <c r="R63" s="59">
        <f>1390</f>
        <v>1390</v>
      </c>
      <c r="S63" s="58"/>
      <c r="T63" s="59">
        <f t="shared" si="35"/>
        <v>1390</v>
      </c>
      <c r="U63" s="60" t="str">
        <f t="shared" si="36"/>
        <v/>
      </c>
      <c r="V63" s="59">
        <f>695</f>
        <v>695</v>
      </c>
      <c r="W63" s="58"/>
      <c r="X63" s="59">
        <f t="shared" si="37"/>
        <v>695</v>
      </c>
      <c r="Y63" s="60" t="str">
        <f t="shared" si="38"/>
        <v/>
      </c>
      <c r="Z63" s="58"/>
      <c r="AA63" s="58"/>
      <c r="AB63" s="59">
        <f t="shared" si="39"/>
        <v>0</v>
      </c>
      <c r="AC63" s="60" t="str">
        <f t="shared" si="40"/>
        <v/>
      </c>
      <c r="AD63" s="59">
        <f>695</f>
        <v>695</v>
      </c>
      <c r="AE63" s="58"/>
      <c r="AF63" s="59">
        <f t="shared" si="41"/>
        <v>695</v>
      </c>
      <c r="AG63" s="60" t="str">
        <f t="shared" si="42"/>
        <v/>
      </c>
      <c r="AH63" s="59">
        <f>695</f>
        <v>695</v>
      </c>
      <c r="AI63" s="58"/>
      <c r="AJ63" s="59">
        <f t="shared" si="43"/>
        <v>695</v>
      </c>
      <c r="AK63" s="60" t="str">
        <f t="shared" si="44"/>
        <v/>
      </c>
      <c r="AL63" s="59">
        <f>695</f>
        <v>695</v>
      </c>
      <c r="AM63" s="58"/>
      <c r="AN63" s="59">
        <f t="shared" si="45"/>
        <v>695</v>
      </c>
      <c r="AO63" s="60" t="str">
        <f t="shared" si="46"/>
        <v/>
      </c>
      <c r="AP63" s="59">
        <f>695</f>
        <v>695</v>
      </c>
      <c r="AQ63" s="58"/>
      <c r="AR63" s="59">
        <f t="shared" si="47"/>
        <v>695</v>
      </c>
      <c r="AS63" s="60" t="str">
        <f t="shared" si="48"/>
        <v/>
      </c>
      <c r="AT63" s="59">
        <f>1390</f>
        <v>1390</v>
      </c>
      <c r="AU63" s="58"/>
      <c r="AV63" s="59">
        <f t="shared" si="49"/>
        <v>1390</v>
      </c>
      <c r="AW63" s="60" t="str">
        <f t="shared" si="50"/>
        <v/>
      </c>
      <c r="AX63" s="59">
        <f t="shared" si="54"/>
        <v>8340</v>
      </c>
      <c r="AY63" s="59">
        <v>10000</v>
      </c>
      <c r="AZ63" s="59">
        <f t="shared" si="52"/>
        <v>-1660</v>
      </c>
      <c r="BA63" s="60">
        <f t="shared" si="53"/>
        <v>0.83399999999999996</v>
      </c>
    </row>
    <row r="64" spans="1:53" x14ac:dyDescent="0.3">
      <c r="A64" s="57" t="s">
        <v>141</v>
      </c>
      <c r="B64" s="59">
        <f>2775.5</f>
        <v>2775.5</v>
      </c>
      <c r="C64" s="58"/>
      <c r="D64" s="59">
        <f t="shared" si="27"/>
        <v>2775.5</v>
      </c>
      <c r="E64" s="60" t="str">
        <f t="shared" si="28"/>
        <v/>
      </c>
      <c r="F64" s="59">
        <f>640</f>
        <v>640</v>
      </c>
      <c r="G64" s="58"/>
      <c r="H64" s="59">
        <f t="shared" si="29"/>
        <v>640</v>
      </c>
      <c r="I64" s="60" t="str">
        <f t="shared" si="30"/>
        <v/>
      </c>
      <c r="J64" s="58"/>
      <c r="K64" s="58"/>
      <c r="L64" s="59">
        <f t="shared" si="31"/>
        <v>0</v>
      </c>
      <c r="M64" s="60" t="str">
        <f t="shared" si="32"/>
        <v/>
      </c>
      <c r="N64" s="58"/>
      <c r="O64" s="58"/>
      <c r="P64" s="59">
        <f t="shared" si="33"/>
        <v>0</v>
      </c>
      <c r="Q64" s="60" t="str">
        <f t="shared" si="34"/>
        <v/>
      </c>
      <c r="R64" s="59">
        <f>450</f>
        <v>450</v>
      </c>
      <c r="S64" s="58"/>
      <c r="T64" s="59">
        <f t="shared" si="35"/>
        <v>450</v>
      </c>
      <c r="U64" s="60" t="str">
        <f t="shared" si="36"/>
        <v/>
      </c>
      <c r="V64" s="59">
        <f>90</f>
        <v>90</v>
      </c>
      <c r="W64" s="58"/>
      <c r="X64" s="59">
        <f t="shared" si="37"/>
        <v>90</v>
      </c>
      <c r="Y64" s="60" t="str">
        <f t="shared" si="38"/>
        <v/>
      </c>
      <c r="Z64" s="58"/>
      <c r="AA64" s="58"/>
      <c r="AB64" s="59">
        <f t="shared" si="39"/>
        <v>0</v>
      </c>
      <c r="AC64" s="60" t="str">
        <f t="shared" si="40"/>
        <v/>
      </c>
      <c r="AD64" s="58"/>
      <c r="AE64" s="58"/>
      <c r="AF64" s="59">
        <f t="shared" si="41"/>
        <v>0</v>
      </c>
      <c r="AG64" s="60" t="str">
        <f t="shared" si="42"/>
        <v/>
      </c>
      <c r="AH64" s="58"/>
      <c r="AI64" s="58"/>
      <c r="AJ64" s="59">
        <f t="shared" si="43"/>
        <v>0</v>
      </c>
      <c r="AK64" s="60" t="str">
        <f t="shared" si="44"/>
        <v/>
      </c>
      <c r="AL64" s="58"/>
      <c r="AM64" s="58"/>
      <c r="AN64" s="59">
        <f t="shared" si="45"/>
        <v>0</v>
      </c>
      <c r="AO64" s="60" t="str">
        <f t="shared" si="46"/>
        <v/>
      </c>
      <c r="AP64" s="58"/>
      <c r="AQ64" s="58"/>
      <c r="AR64" s="59">
        <f t="shared" si="47"/>
        <v>0</v>
      </c>
      <c r="AS64" s="60" t="str">
        <f t="shared" si="48"/>
        <v/>
      </c>
      <c r="AT64" s="58"/>
      <c r="AU64" s="58"/>
      <c r="AV64" s="59">
        <f t="shared" si="49"/>
        <v>0</v>
      </c>
      <c r="AW64" s="60" t="str">
        <f t="shared" si="50"/>
        <v/>
      </c>
      <c r="AX64" s="59">
        <f t="shared" si="54"/>
        <v>3955.5</v>
      </c>
      <c r="AY64" s="59">
        <v>13500</v>
      </c>
      <c r="AZ64" s="59">
        <f t="shared" si="52"/>
        <v>-9544.5</v>
      </c>
      <c r="BA64" s="60">
        <f t="shared" si="53"/>
        <v>0.29299999999999998</v>
      </c>
    </row>
    <row r="65" spans="1:53" x14ac:dyDescent="0.3">
      <c r="A65" s="57" t="s">
        <v>142</v>
      </c>
      <c r="B65" s="59">
        <f>172.32</f>
        <v>172.32</v>
      </c>
      <c r="C65" s="58"/>
      <c r="D65" s="59">
        <f t="shared" si="27"/>
        <v>172.32</v>
      </c>
      <c r="E65" s="60" t="str">
        <f t="shared" si="28"/>
        <v/>
      </c>
      <c r="F65" s="59">
        <f>150</f>
        <v>150</v>
      </c>
      <c r="G65" s="58"/>
      <c r="H65" s="59">
        <f t="shared" si="29"/>
        <v>150</v>
      </c>
      <c r="I65" s="60" t="str">
        <f t="shared" si="30"/>
        <v/>
      </c>
      <c r="J65" s="59">
        <f>422</f>
        <v>422</v>
      </c>
      <c r="K65" s="58"/>
      <c r="L65" s="59">
        <f t="shared" si="31"/>
        <v>422</v>
      </c>
      <c r="M65" s="60" t="str">
        <f t="shared" si="32"/>
        <v/>
      </c>
      <c r="N65" s="59">
        <f>2612.75</f>
        <v>2612.75</v>
      </c>
      <c r="O65" s="58"/>
      <c r="P65" s="59">
        <f t="shared" si="33"/>
        <v>2612.75</v>
      </c>
      <c r="Q65" s="60" t="str">
        <f t="shared" si="34"/>
        <v/>
      </c>
      <c r="R65" s="58"/>
      <c r="S65" s="58"/>
      <c r="T65" s="59">
        <f t="shared" si="35"/>
        <v>0</v>
      </c>
      <c r="U65" s="60" t="str">
        <f t="shared" si="36"/>
        <v/>
      </c>
      <c r="V65" s="59">
        <f>510.07</f>
        <v>510.07</v>
      </c>
      <c r="W65" s="58"/>
      <c r="X65" s="59">
        <f t="shared" si="37"/>
        <v>510.07</v>
      </c>
      <c r="Y65" s="60" t="str">
        <f t="shared" si="38"/>
        <v/>
      </c>
      <c r="Z65" s="59">
        <f>122.31</f>
        <v>122.31</v>
      </c>
      <c r="AA65" s="58"/>
      <c r="AB65" s="59">
        <f t="shared" si="39"/>
        <v>122.31</v>
      </c>
      <c r="AC65" s="60" t="str">
        <f t="shared" si="40"/>
        <v/>
      </c>
      <c r="AD65" s="59">
        <f>24</f>
        <v>24</v>
      </c>
      <c r="AE65" s="58"/>
      <c r="AF65" s="59">
        <f t="shared" si="41"/>
        <v>24</v>
      </c>
      <c r="AG65" s="60" t="str">
        <f t="shared" si="42"/>
        <v/>
      </c>
      <c r="AH65" s="58"/>
      <c r="AI65" s="58"/>
      <c r="AJ65" s="59">
        <f t="shared" si="43"/>
        <v>0</v>
      </c>
      <c r="AK65" s="60" t="str">
        <f t="shared" si="44"/>
        <v/>
      </c>
      <c r="AL65" s="59">
        <f>680</f>
        <v>680</v>
      </c>
      <c r="AM65" s="58"/>
      <c r="AN65" s="59">
        <f t="shared" si="45"/>
        <v>680</v>
      </c>
      <c r="AO65" s="60" t="str">
        <f t="shared" si="46"/>
        <v/>
      </c>
      <c r="AP65" s="59">
        <f>2220</f>
        <v>2220</v>
      </c>
      <c r="AQ65" s="58"/>
      <c r="AR65" s="59">
        <f t="shared" si="47"/>
        <v>2220</v>
      </c>
      <c r="AS65" s="60" t="str">
        <f t="shared" si="48"/>
        <v/>
      </c>
      <c r="AT65" s="59">
        <f>327</f>
        <v>327</v>
      </c>
      <c r="AU65" s="58"/>
      <c r="AV65" s="59">
        <f t="shared" si="49"/>
        <v>327</v>
      </c>
      <c r="AW65" s="60" t="str">
        <f t="shared" si="50"/>
        <v/>
      </c>
      <c r="AX65" s="59">
        <f t="shared" si="54"/>
        <v>7240.45</v>
      </c>
      <c r="AY65" s="59">
        <v>25000</v>
      </c>
      <c r="AZ65" s="59">
        <f t="shared" si="52"/>
        <v>-17759.55</v>
      </c>
      <c r="BA65" s="60">
        <f t="shared" si="53"/>
        <v>0.28961799999999999</v>
      </c>
    </row>
    <row r="66" spans="1:53" x14ac:dyDescent="0.3">
      <c r="A66" s="57" t="s">
        <v>143</v>
      </c>
      <c r="B66" s="59">
        <f>307.07</f>
        <v>307.07</v>
      </c>
      <c r="C66" s="58"/>
      <c r="D66" s="59">
        <f t="shared" si="27"/>
        <v>307.07</v>
      </c>
      <c r="E66" s="60" t="str">
        <f t="shared" si="28"/>
        <v/>
      </c>
      <c r="F66" s="58"/>
      <c r="G66" s="58"/>
      <c r="H66" s="59">
        <f t="shared" si="29"/>
        <v>0</v>
      </c>
      <c r="I66" s="60" t="str">
        <f t="shared" si="30"/>
        <v/>
      </c>
      <c r="J66" s="58"/>
      <c r="K66" s="58"/>
      <c r="L66" s="59">
        <f t="shared" si="31"/>
        <v>0</v>
      </c>
      <c r="M66" s="60" t="str">
        <f t="shared" si="32"/>
        <v/>
      </c>
      <c r="N66" s="59">
        <f>307.07</f>
        <v>307.07</v>
      </c>
      <c r="O66" s="58"/>
      <c r="P66" s="59">
        <f t="shared" si="33"/>
        <v>307.07</v>
      </c>
      <c r="Q66" s="60" t="str">
        <f t="shared" si="34"/>
        <v/>
      </c>
      <c r="R66" s="58"/>
      <c r="S66" s="58"/>
      <c r="T66" s="59">
        <f t="shared" si="35"/>
        <v>0</v>
      </c>
      <c r="U66" s="60" t="str">
        <f t="shared" si="36"/>
        <v/>
      </c>
      <c r="V66" s="59">
        <f>307.07</f>
        <v>307.07</v>
      </c>
      <c r="W66" s="58"/>
      <c r="X66" s="59">
        <f t="shared" si="37"/>
        <v>307.07</v>
      </c>
      <c r="Y66" s="60" t="str">
        <f t="shared" si="38"/>
        <v/>
      </c>
      <c r="Z66" s="58"/>
      <c r="AA66" s="58"/>
      <c r="AB66" s="59">
        <f t="shared" si="39"/>
        <v>0</v>
      </c>
      <c r="AC66" s="60" t="str">
        <f t="shared" si="40"/>
        <v/>
      </c>
      <c r="AD66" s="58"/>
      <c r="AE66" s="58"/>
      <c r="AF66" s="59">
        <f t="shared" si="41"/>
        <v>0</v>
      </c>
      <c r="AG66" s="60" t="str">
        <f t="shared" si="42"/>
        <v/>
      </c>
      <c r="AH66" s="59">
        <f>330.1</f>
        <v>330.1</v>
      </c>
      <c r="AI66" s="58"/>
      <c r="AJ66" s="59">
        <f t="shared" si="43"/>
        <v>330.1</v>
      </c>
      <c r="AK66" s="60" t="str">
        <f t="shared" si="44"/>
        <v/>
      </c>
      <c r="AL66" s="58"/>
      <c r="AM66" s="58"/>
      <c r="AN66" s="59">
        <f t="shared" si="45"/>
        <v>0</v>
      </c>
      <c r="AO66" s="60" t="str">
        <f t="shared" si="46"/>
        <v/>
      </c>
      <c r="AP66" s="59">
        <f>973.11</f>
        <v>973.11</v>
      </c>
      <c r="AQ66" s="58"/>
      <c r="AR66" s="59">
        <f t="shared" si="47"/>
        <v>973.11</v>
      </c>
      <c r="AS66" s="60" t="str">
        <f t="shared" si="48"/>
        <v/>
      </c>
      <c r="AT66" s="59">
        <f>330.1</f>
        <v>330.1</v>
      </c>
      <c r="AU66" s="58"/>
      <c r="AV66" s="59">
        <f t="shared" si="49"/>
        <v>330.1</v>
      </c>
      <c r="AW66" s="60" t="str">
        <f t="shared" si="50"/>
        <v/>
      </c>
      <c r="AX66" s="59">
        <f t="shared" si="54"/>
        <v>2554.52</v>
      </c>
      <c r="AY66" s="59">
        <v>3500</v>
      </c>
      <c r="AZ66" s="59">
        <f t="shared" si="52"/>
        <v>-945.48</v>
      </c>
      <c r="BA66" s="60">
        <f t="shared" si="53"/>
        <v>0.72986285714285715</v>
      </c>
    </row>
    <row r="67" spans="1:53" x14ac:dyDescent="0.3">
      <c r="A67" s="57" t="s">
        <v>144</v>
      </c>
      <c r="B67" s="58"/>
      <c r="C67" s="58"/>
      <c r="D67" s="59">
        <f t="shared" si="27"/>
        <v>0</v>
      </c>
      <c r="E67" s="60" t="str">
        <f t="shared" si="28"/>
        <v/>
      </c>
      <c r="F67" s="58"/>
      <c r="G67" s="58"/>
      <c r="H67" s="59">
        <f t="shared" si="29"/>
        <v>0</v>
      </c>
      <c r="I67" s="60" t="str">
        <f t="shared" si="30"/>
        <v/>
      </c>
      <c r="J67" s="58"/>
      <c r="K67" s="58"/>
      <c r="L67" s="59">
        <f t="shared" si="31"/>
        <v>0</v>
      </c>
      <c r="M67" s="60" t="str">
        <f t="shared" si="32"/>
        <v/>
      </c>
      <c r="N67" s="59">
        <f>390.2</f>
        <v>390.2</v>
      </c>
      <c r="O67" s="58"/>
      <c r="P67" s="59">
        <f t="shared" si="33"/>
        <v>390.2</v>
      </c>
      <c r="Q67" s="60" t="str">
        <f t="shared" si="34"/>
        <v/>
      </c>
      <c r="R67" s="59">
        <f>266.53</f>
        <v>266.52999999999997</v>
      </c>
      <c r="S67" s="58"/>
      <c r="T67" s="59">
        <f t="shared" si="35"/>
        <v>266.52999999999997</v>
      </c>
      <c r="U67" s="60" t="str">
        <f t="shared" si="36"/>
        <v/>
      </c>
      <c r="V67" s="59">
        <f>137.34</f>
        <v>137.34</v>
      </c>
      <c r="W67" s="58"/>
      <c r="X67" s="59">
        <f t="shared" si="37"/>
        <v>137.34</v>
      </c>
      <c r="Y67" s="60" t="str">
        <f t="shared" si="38"/>
        <v/>
      </c>
      <c r="Z67" s="58"/>
      <c r="AA67" s="58"/>
      <c r="AB67" s="59">
        <f t="shared" si="39"/>
        <v>0</v>
      </c>
      <c r="AC67" s="60" t="str">
        <f t="shared" si="40"/>
        <v/>
      </c>
      <c r="AD67" s="58"/>
      <c r="AE67" s="58"/>
      <c r="AF67" s="59">
        <f t="shared" si="41"/>
        <v>0</v>
      </c>
      <c r="AG67" s="60" t="str">
        <f t="shared" si="42"/>
        <v/>
      </c>
      <c r="AH67" s="58"/>
      <c r="AI67" s="58"/>
      <c r="AJ67" s="59">
        <f t="shared" si="43"/>
        <v>0</v>
      </c>
      <c r="AK67" s="60" t="str">
        <f t="shared" si="44"/>
        <v/>
      </c>
      <c r="AL67" s="59">
        <f>203.51</f>
        <v>203.51</v>
      </c>
      <c r="AM67" s="58"/>
      <c r="AN67" s="59">
        <f t="shared" si="45"/>
        <v>203.51</v>
      </c>
      <c r="AO67" s="60" t="str">
        <f t="shared" si="46"/>
        <v/>
      </c>
      <c r="AP67" s="58"/>
      <c r="AQ67" s="58"/>
      <c r="AR67" s="59">
        <f t="shared" si="47"/>
        <v>0</v>
      </c>
      <c r="AS67" s="60" t="str">
        <f t="shared" si="48"/>
        <v/>
      </c>
      <c r="AT67" s="59">
        <f>266.53</f>
        <v>266.52999999999997</v>
      </c>
      <c r="AU67" s="58"/>
      <c r="AV67" s="59">
        <f t="shared" si="49"/>
        <v>266.52999999999997</v>
      </c>
      <c r="AW67" s="60" t="str">
        <f t="shared" si="50"/>
        <v/>
      </c>
      <c r="AX67" s="59">
        <f t="shared" si="54"/>
        <v>1264.1100000000001</v>
      </c>
      <c r="AY67" s="59">
        <v>2200</v>
      </c>
      <c r="AZ67" s="59">
        <f t="shared" si="52"/>
        <v>-935.88999999999987</v>
      </c>
      <c r="BA67" s="60">
        <f t="shared" si="53"/>
        <v>0.57459545454545458</v>
      </c>
    </row>
    <row r="68" spans="1:53" x14ac:dyDescent="0.3">
      <c r="A68" s="57" t="s">
        <v>145</v>
      </c>
      <c r="B68" s="58"/>
      <c r="C68" s="58"/>
      <c r="D68" s="59">
        <f t="shared" si="27"/>
        <v>0</v>
      </c>
      <c r="E68" s="60" t="str">
        <f t="shared" si="28"/>
        <v/>
      </c>
      <c r="F68" s="58"/>
      <c r="G68" s="58"/>
      <c r="H68" s="59">
        <f t="shared" si="29"/>
        <v>0</v>
      </c>
      <c r="I68" s="60" t="str">
        <f t="shared" si="30"/>
        <v/>
      </c>
      <c r="J68" s="58"/>
      <c r="K68" s="58"/>
      <c r="L68" s="59">
        <f t="shared" si="31"/>
        <v>0</v>
      </c>
      <c r="M68" s="60" t="str">
        <f t="shared" si="32"/>
        <v/>
      </c>
      <c r="N68" s="58"/>
      <c r="O68" s="58"/>
      <c r="P68" s="59">
        <f t="shared" si="33"/>
        <v>0</v>
      </c>
      <c r="Q68" s="60" t="str">
        <f t="shared" si="34"/>
        <v/>
      </c>
      <c r="R68" s="58"/>
      <c r="S68" s="58"/>
      <c r="T68" s="59">
        <f t="shared" si="35"/>
        <v>0</v>
      </c>
      <c r="U68" s="60" t="str">
        <f t="shared" si="36"/>
        <v/>
      </c>
      <c r="V68" s="58"/>
      <c r="W68" s="58"/>
      <c r="X68" s="59">
        <f t="shared" si="37"/>
        <v>0</v>
      </c>
      <c r="Y68" s="60" t="str">
        <f t="shared" si="38"/>
        <v/>
      </c>
      <c r="Z68" s="58"/>
      <c r="AA68" s="58"/>
      <c r="AB68" s="59">
        <f t="shared" si="39"/>
        <v>0</v>
      </c>
      <c r="AC68" s="60" t="str">
        <f t="shared" si="40"/>
        <v/>
      </c>
      <c r="AD68" s="58"/>
      <c r="AE68" s="58"/>
      <c r="AF68" s="59">
        <f t="shared" si="41"/>
        <v>0</v>
      </c>
      <c r="AG68" s="60" t="str">
        <f t="shared" si="42"/>
        <v/>
      </c>
      <c r="AH68" s="59">
        <f>1037</f>
        <v>1037</v>
      </c>
      <c r="AI68" s="58"/>
      <c r="AJ68" s="59">
        <f t="shared" si="43"/>
        <v>1037</v>
      </c>
      <c r="AK68" s="60" t="str">
        <f t="shared" si="44"/>
        <v/>
      </c>
      <c r="AL68" s="58"/>
      <c r="AM68" s="58"/>
      <c r="AN68" s="59">
        <f t="shared" si="45"/>
        <v>0</v>
      </c>
      <c r="AO68" s="60" t="str">
        <f t="shared" si="46"/>
        <v/>
      </c>
      <c r="AP68" s="58"/>
      <c r="AQ68" s="58"/>
      <c r="AR68" s="59">
        <f t="shared" si="47"/>
        <v>0</v>
      </c>
      <c r="AS68" s="60" t="str">
        <f t="shared" si="48"/>
        <v/>
      </c>
      <c r="AT68" s="58"/>
      <c r="AU68" s="58"/>
      <c r="AV68" s="59">
        <f t="shared" si="49"/>
        <v>0</v>
      </c>
      <c r="AW68" s="60" t="str">
        <f t="shared" si="50"/>
        <v/>
      </c>
      <c r="AX68" s="59">
        <f t="shared" si="54"/>
        <v>1037</v>
      </c>
      <c r="AY68" s="59">
        <v>1200</v>
      </c>
      <c r="AZ68" s="59">
        <f t="shared" si="52"/>
        <v>-163</v>
      </c>
      <c r="BA68" s="60">
        <f t="shared" si="53"/>
        <v>0.86416666666666664</v>
      </c>
    </row>
    <row r="69" spans="1:53" x14ac:dyDescent="0.3">
      <c r="A69" s="57" t="s">
        <v>146</v>
      </c>
      <c r="B69" s="61">
        <f>(((((((B61)+(B62))+(B63))+(B64))+(B65))+(B66))+(B67))+(B68)</f>
        <v>3254.8900000000003</v>
      </c>
      <c r="C69" s="61">
        <f>(((((((C61)+(C62))+(C63))+(C64))+(C65))+(C66))+(C67))+(C68)</f>
        <v>0</v>
      </c>
      <c r="D69" s="61">
        <f t="shared" si="27"/>
        <v>3254.8900000000003</v>
      </c>
      <c r="E69" s="62" t="str">
        <f t="shared" si="28"/>
        <v/>
      </c>
      <c r="F69" s="61">
        <f>(((((((F61)+(F62))+(F63))+(F64))+(F65))+(F66))+(F67))+(F68)</f>
        <v>2180</v>
      </c>
      <c r="G69" s="61">
        <f>(((((((G61)+(G62))+(G63))+(G64))+(G65))+(G66))+(G67))+(G68)</f>
        <v>0</v>
      </c>
      <c r="H69" s="61">
        <f t="shared" si="29"/>
        <v>2180</v>
      </c>
      <c r="I69" s="62" t="str">
        <f t="shared" si="30"/>
        <v/>
      </c>
      <c r="J69" s="61">
        <f>(((((((J61)+(J62))+(J63))+(J64))+(J65))+(J66))+(J67))+(J68)</f>
        <v>1117</v>
      </c>
      <c r="K69" s="61">
        <f>(((((((K61)+(K62))+(K63))+(K64))+(K65))+(K66))+(K67))+(K68)</f>
        <v>0</v>
      </c>
      <c r="L69" s="61">
        <f t="shared" si="31"/>
        <v>1117</v>
      </c>
      <c r="M69" s="62" t="str">
        <f t="shared" si="32"/>
        <v/>
      </c>
      <c r="N69" s="61">
        <f>(((((((N61)+(N62))+(N63))+(N64))+(N65))+(N66))+(N67))+(N68)</f>
        <v>3310.02</v>
      </c>
      <c r="O69" s="61">
        <f>(((((((O61)+(O62))+(O63))+(O64))+(O65))+(O66))+(O67))+(O68)</f>
        <v>0</v>
      </c>
      <c r="P69" s="61">
        <f t="shared" si="33"/>
        <v>3310.02</v>
      </c>
      <c r="Q69" s="62" t="str">
        <f t="shared" si="34"/>
        <v/>
      </c>
      <c r="R69" s="61">
        <f>(((((((R61)+(R62))+(R63))+(R64))+(R65))+(R66))+(R67))+(R68)</f>
        <v>2106.5299999999997</v>
      </c>
      <c r="S69" s="61">
        <f>(((((((S61)+(S62))+(S63))+(S64))+(S65))+(S66))+(S67))+(S68)</f>
        <v>0</v>
      </c>
      <c r="T69" s="61">
        <f t="shared" si="35"/>
        <v>2106.5299999999997</v>
      </c>
      <c r="U69" s="62" t="str">
        <f t="shared" si="36"/>
        <v/>
      </c>
      <c r="V69" s="61">
        <f>(((((((V61)+(V62))+(V63))+(V64))+(V65))+(V66))+(V67))+(V68)</f>
        <v>1739.4799999999998</v>
      </c>
      <c r="W69" s="61">
        <f>(((((((W61)+(W62))+(W63))+(W64))+(W65))+(W66))+(W67))+(W68)</f>
        <v>0</v>
      </c>
      <c r="X69" s="61">
        <f t="shared" si="37"/>
        <v>1739.4799999999998</v>
      </c>
      <c r="Y69" s="62" t="str">
        <f t="shared" si="38"/>
        <v/>
      </c>
      <c r="Z69" s="61">
        <f>(((((((Z61)+(Z62))+(Z63))+(Z64))+(Z65))+(Z66))+(Z67))+(Z68)</f>
        <v>122.31</v>
      </c>
      <c r="AA69" s="61">
        <f>(((((((AA61)+(AA62))+(AA63))+(AA64))+(AA65))+(AA66))+(AA67))+(AA68)</f>
        <v>0</v>
      </c>
      <c r="AB69" s="61">
        <f t="shared" si="39"/>
        <v>122.31</v>
      </c>
      <c r="AC69" s="62" t="str">
        <f t="shared" si="40"/>
        <v/>
      </c>
      <c r="AD69" s="61">
        <f>(((((((AD61)+(AD62))+(AD63))+(AD64))+(AD65))+(AD66))+(AD67))+(AD68)</f>
        <v>719</v>
      </c>
      <c r="AE69" s="61">
        <f>(((((((AE61)+(AE62))+(AE63))+(AE64))+(AE65))+(AE66))+(AE67))+(AE68)</f>
        <v>0</v>
      </c>
      <c r="AF69" s="61">
        <f t="shared" si="41"/>
        <v>719</v>
      </c>
      <c r="AG69" s="62" t="str">
        <f t="shared" si="42"/>
        <v/>
      </c>
      <c r="AH69" s="61">
        <f>(((((((AH61)+(AH62))+(AH63))+(AH64))+(AH65))+(AH66))+(AH67))+(AH68)</f>
        <v>2762.1</v>
      </c>
      <c r="AI69" s="61">
        <f>(((((((AI61)+(AI62))+(AI63))+(AI64))+(AI65))+(AI66))+(AI67))+(AI68)</f>
        <v>0</v>
      </c>
      <c r="AJ69" s="61">
        <f t="shared" si="43"/>
        <v>2762.1</v>
      </c>
      <c r="AK69" s="62" t="str">
        <f t="shared" si="44"/>
        <v/>
      </c>
      <c r="AL69" s="61">
        <f>(((((((AL61)+(AL62))+(AL63))+(AL64))+(AL65))+(AL66))+(AL67))+(AL68)</f>
        <v>1578.51</v>
      </c>
      <c r="AM69" s="61">
        <f>(((((((AM61)+(AM62))+(AM63))+(AM64))+(AM65))+(AM66))+(AM67))+(AM68)</f>
        <v>0</v>
      </c>
      <c r="AN69" s="61">
        <f t="shared" si="45"/>
        <v>1578.51</v>
      </c>
      <c r="AO69" s="62" t="str">
        <f t="shared" si="46"/>
        <v/>
      </c>
      <c r="AP69" s="61">
        <f>(((((((AP61)+(AP62))+(AP63))+(AP64))+(AP65))+(AP66))+(AP67))+(AP68)</f>
        <v>3888.11</v>
      </c>
      <c r="AQ69" s="61">
        <f>(((((((AQ61)+(AQ62))+(AQ63))+(AQ64))+(AQ65))+(AQ66))+(AQ67))+(AQ68)</f>
        <v>0</v>
      </c>
      <c r="AR69" s="61">
        <f t="shared" si="47"/>
        <v>3888.11</v>
      </c>
      <c r="AS69" s="62" t="str">
        <f t="shared" si="48"/>
        <v/>
      </c>
      <c r="AT69" s="61">
        <f>(((((((AT61)+(AT62))+(AT63))+(AT64))+(AT65))+(AT66))+(AT67))+(AT68)</f>
        <v>2313.63</v>
      </c>
      <c r="AU69" s="61">
        <f>(((((((AU61)+(AU62))+(AU63))+(AU64))+(AU65))+(AU66))+(AU67))+(AU68)</f>
        <v>0</v>
      </c>
      <c r="AV69" s="61">
        <f t="shared" si="49"/>
        <v>2313.63</v>
      </c>
      <c r="AW69" s="62" t="str">
        <f t="shared" si="50"/>
        <v/>
      </c>
      <c r="AX69" s="61">
        <f t="shared" si="54"/>
        <v>25091.579999999998</v>
      </c>
      <c r="AY69" s="61">
        <f t="shared" si="54"/>
        <v>0</v>
      </c>
      <c r="AZ69" s="61">
        <f t="shared" si="52"/>
        <v>25091.579999999998</v>
      </c>
      <c r="BA69" s="62" t="str">
        <f t="shared" si="53"/>
        <v/>
      </c>
    </row>
    <row r="70" spans="1:53" x14ac:dyDescent="0.3">
      <c r="A70" s="57" t="s">
        <v>147</v>
      </c>
      <c r="B70" s="59">
        <f>1190.21</f>
        <v>1190.21</v>
      </c>
      <c r="C70" s="58"/>
      <c r="D70" s="59">
        <f t="shared" si="27"/>
        <v>1190.21</v>
      </c>
      <c r="E70" s="60" t="str">
        <f t="shared" si="28"/>
        <v/>
      </c>
      <c r="F70" s="59">
        <f>1190.21</f>
        <v>1190.21</v>
      </c>
      <c r="G70" s="58"/>
      <c r="H70" s="59">
        <f t="shared" si="29"/>
        <v>1190.21</v>
      </c>
      <c r="I70" s="60" t="str">
        <f t="shared" si="30"/>
        <v/>
      </c>
      <c r="J70" s="59">
        <f>1190.21</f>
        <v>1190.21</v>
      </c>
      <c r="K70" s="58"/>
      <c r="L70" s="59">
        <f t="shared" si="31"/>
        <v>1190.21</v>
      </c>
      <c r="M70" s="60" t="str">
        <f t="shared" si="32"/>
        <v/>
      </c>
      <c r="N70" s="59">
        <f>1190.21</f>
        <v>1190.21</v>
      </c>
      <c r="O70" s="58"/>
      <c r="P70" s="59">
        <f t="shared" si="33"/>
        <v>1190.21</v>
      </c>
      <c r="Q70" s="60" t="str">
        <f t="shared" si="34"/>
        <v/>
      </c>
      <c r="R70" s="59">
        <f>1190.21</f>
        <v>1190.21</v>
      </c>
      <c r="S70" s="58"/>
      <c r="T70" s="59">
        <f t="shared" si="35"/>
        <v>1190.21</v>
      </c>
      <c r="U70" s="60" t="str">
        <f t="shared" si="36"/>
        <v/>
      </c>
      <c r="V70" s="59">
        <f>1190.21</f>
        <v>1190.21</v>
      </c>
      <c r="W70" s="58"/>
      <c r="X70" s="59">
        <f t="shared" si="37"/>
        <v>1190.21</v>
      </c>
      <c r="Y70" s="60" t="str">
        <f t="shared" si="38"/>
        <v/>
      </c>
      <c r="Z70" s="59">
        <f>1190.21</f>
        <v>1190.21</v>
      </c>
      <c r="AA70" s="58"/>
      <c r="AB70" s="59">
        <f t="shared" si="39"/>
        <v>1190.21</v>
      </c>
      <c r="AC70" s="60" t="str">
        <f t="shared" si="40"/>
        <v/>
      </c>
      <c r="AD70" s="59">
        <f>1190.21</f>
        <v>1190.21</v>
      </c>
      <c r="AE70" s="58"/>
      <c r="AF70" s="59">
        <f t="shared" si="41"/>
        <v>1190.21</v>
      </c>
      <c r="AG70" s="60" t="str">
        <f t="shared" si="42"/>
        <v/>
      </c>
      <c r="AH70" s="59">
        <f>1190.21</f>
        <v>1190.21</v>
      </c>
      <c r="AI70" s="58"/>
      <c r="AJ70" s="59">
        <f t="shared" si="43"/>
        <v>1190.21</v>
      </c>
      <c r="AK70" s="60" t="str">
        <f t="shared" si="44"/>
        <v/>
      </c>
      <c r="AL70" s="59">
        <f>1190.21</f>
        <v>1190.21</v>
      </c>
      <c r="AM70" s="58"/>
      <c r="AN70" s="59">
        <f t="shared" si="45"/>
        <v>1190.21</v>
      </c>
      <c r="AO70" s="60" t="str">
        <f t="shared" si="46"/>
        <v/>
      </c>
      <c r="AP70" s="59">
        <f>1190.21</f>
        <v>1190.21</v>
      </c>
      <c r="AQ70" s="58"/>
      <c r="AR70" s="59">
        <f t="shared" si="47"/>
        <v>1190.21</v>
      </c>
      <c r="AS70" s="60" t="str">
        <f t="shared" si="48"/>
        <v/>
      </c>
      <c r="AT70" s="59">
        <f>1190.21</f>
        <v>1190.21</v>
      </c>
      <c r="AU70" s="58"/>
      <c r="AV70" s="59">
        <f t="shared" si="49"/>
        <v>1190.21</v>
      </c>
      <c r="AW70" s="60" t="str">
        <f t="shared" si="50"/>
        <v/>
      </c>
      <c r="AX70" s="59">
        <f t="shared" si="54"/>
        <v>14282.519999999997</v>
      </c>
      <c r="AY70" s="59">
        <v>14500</v>
      </c>
      <c r="AZ70" s="59">
        <f t="shared" si="52"/>
        <v>-217.4800000000032</v>
      </c>
      <c r="BA70" s="60">
        <f t="shared" si="53"/>
        <v>0.98500137931034459</v>
      </c>
    </row>
    <row r="71" spans="1:53" x14ac:dyDescent="0.3">
      <c r="A71" s="57" t="s">
        <v>148</v>
      </c>
      <c r="B71" s="59">
        <f>23</f>
        <v>23</v>
      </c>
      <c r="C71" s="58"/>
      <c r="D71" s="59">
        <f t="shared" si="27"/>
        <v>23</v>
      </c>
      <c r="E71" s="60" t="str">
        <f t="shared" si="28"/>
        <v/>
      </c>
      <c r="F71" s="59">
        <f>207.62</f>
        <v>207.62</v>
      </c>
      <c r="G71" s="58"/>
      <c r="H71" s="59">
        <f t="shared" si="29"/>
        <v>207.62</v>
      </c>
      <c r="I71" s="60" t="str">
        <f t="shared" si="30"/>
        <v/>
      </c>
      <c r="J71" s="59">
        <f>1345.94</f>
        <v>1345.94</v>
      </c>
      <c r="K71" s="58"/>
      <c r="L71" s="59">
        <f t="shared" si="31"/>
        <v>1345.94</v>
      </c>
      <c r="M71" s="60" t="str">
        <f t="shared" si="32"/>
        <v/>
      </c>
      <c r="N71" s="59">
        <f>1605.54</f>
        <v>1605.54</v>
      </c>
      <c r="O71" s="58"/>
      <c r="P71" s="59">
        <f t="shared" si="33"/>
        <v>1605.54</v>
      </c>
      <c r="Q71" s="60" t="str">
        <f t="shared" si="34"/>
        <v/>
      </c>
      <c r="R71" s="59">
        <f>1378.67</f>
        <v>1378.67</v>
      </c>
      <c r="S71" s="58"/>
      <c r="T71" s="59">
        <f t="shared" si="35"/>
        <v>1378.67</v>
      </c>
      <c r="U71" s="60" t="str">
        <f t="shared" si="36"/>
        <v/>
      </c>
      <c r="V71" s="59">
        <f>62.29</f>
        <v>62.29</v>
      </c>
      <c r="W71" s="58"/>
      <c r="X71" s="59">
        <f t="shared" si="37"/>
        <v>62.29</v>
      </c>
      <c r="Y71" s="60" t="str">
        <f t="shared" si="38"/>
        <v/>
      </c>
      <c r="Z71" s="59">
        <f>3160.8</f>
        <v>3160.8</v>
      </c>
      <c r="AA71" s="58"/>
      <c r="AB71" s="59">
        <f t="shared" si="39"/>
        <v>3160.8</v>
      </c>
      <c r="AC71" s="60" t="str">
        <f t="shared" si="40"/>
        <v/>
      </c>
      <c r="AD71" s="58"/>
      <c r="AE71" s="58"/>
      <c r="AF71" s="59">
        <f t="shared" si="41"/>
        <v>0</v>
      </c>
      <c r="AG71" s="60" t="str">
        <f t="shared" si="42"/>
        <v/>
      </c>
      <c r="AH71" s="59">
        <f>4436.88</f>
        <v>4436.88</v>
      </c>
      <c r="AI71" s="58"/>
      <c r="AJ71" s="59">
        <f t="shared" si="43"/>
        <v>4436.88</v>
      </c>
      <c r="AK71" s="60" t="str">
        <f t="shared" si="44"/>
        <v/>
      </c>
      <c r="AL71" s="59">
        <f>89</f>
        <v>89</v>
      </c>
      <c r="AM71" s="58"/>
      <c r="AN71" s="59">
        <f t="shared" si="45"/>
        <v>89</v>
      </c>
      <c r="AO71" s="60" t="str">
        <f t="shared" si="46"/>
        <v/>
      </c>
      <c r="AP71" s="58"/>
      <c r="AQ71" s="58"/>
      <c r="AR71" s="59">
        <f t="shared" si="47"/>
        <v>0</v>
      </c>
      <c r="AS71" s="60" t="str">
        <f t="shared" si="48"/>
        <v/>
      </c>
      <c r="AT71" s="58"/>
      <c r="AU71" s="58"/>
      <c r="AV71" s="59">
        <f t="shared" si="49"/>
        <v>0</v>
      </c>
      <c r="AW71" s="60" t="str">
        <f t="shared" si="50"/>
        <v/>
      </c>
      <c r="AX71" s="59">
        <f t="shared" si="54"/>
        <v>12309.740000000002</v>
      </c>
      <c r="AY71" s="59">
        <v>12000</v>
      </c>
      <c r="AZ71" s="59">
        <f t="shared" si="52"/>
        <v>309.7400000000016</v>
      </c>
      <c r="BA71" s="60">
        <f t="shared" si="53"/>
        <v>1.0258116666666668</v>
      </c>
    </row>
    <row r="72" spans="1:53" x14ac:dyDescent="0.3">
      <c r="A72" s="57" t="s">
        <v>149</v>
      </c>
      <c r="B72" s="58"/>
      <c r="C72" s="58"/>
      <c r="D72" s="59">
        <f t="shared" si="27"/>
        <v>0</v>
      </c>
      <c r="E72" s="60" t="str">
        <f t="shared" si="28"/>
        <v/>
      </c>
      <c r="F72" s="59">
        <f>280</f>
        <v>280</v>
      </c>
      <c r="G72" s="58"/>
      <c r="H72" s="59">
        <f t="shared" si="29"/>
        <v>280</v>
      </c>
      <c r="I72" s="60" t="str">
        <f t="shared" si="30"/>
        <v/>
      </c>
      <c r="J72" s="59">
        <f>175</f>
        <v>175</v>
      </c>
      <c r="K72" s="58"/>
      <c r="L72" s="59">
        <f t="shared" si="31"/>
        <v>175</v>
      </c>
      <c r="M72" s="60" t="str">
        <f t="shared" si="32"/>
        <v/>
      </c>
      <c r="N72" s="58"/>
      <c r="O72" s="58"/>
      <c r="P72" s="59">
        <f t="shared" si="33"/>
        <v>0</v>
      </c>
      <c r="Q72" s="60" t="str">
        <f t="shared" si="34"/>
        <v/>
      </c>
      <c r="R72" s="58"/>
      <c r="S72" s="58"/>
      <c r="T72" s="59">
        <f t="shared" si="35"/>
        <v>0</v>
      </c>
      <c r="U72" s="60" t="str">
        <f t="shared" si="36"/>
        <v/>
      </c>
      <c r="V72" s="58"/>
      <c r="W72" s="58"/>
      <c r="X72" s="59">
        <f t="shared" si="37"/>
        <v>0</v>
      </c>
      <c r="Y72" s="60" t="str">
        <f t="shared" si="38"/>
        <v/>
      </c>
      <c r="Z72" s="58"/>
      <c r="AA72" s="58"/>
      <c r="AB72" s="59">
        <f t="shared" si="39"/>
        <v>0</v>
      </c>
      <c r="AC72" s="60" t="str">
        <f t="shared" si="40"/>
        <v/>
      </c>
      <c r="AD72" s="59">
        <f>3995</f>
        <v>3995</v>
      </c>
      <c r="AE72" s="58"/>
      <c r="AF72" s="59">
        <f t="shared" si="41"/>
        <v>3995</v>
      </c>
      <c r="AG72" s="60" t="str">
        <f t="shared" si="42"/>
        <v/>
      </c>
      <c r="AH72" s="58"/>
      <c r="AI72" s="58"/>
      <c r="AJ72" s="59">
        <f t="shared" si="43"/>
        <v>0</v>
      </c>
      <c r="AK72" s="60" t="str">
        <f t="shared" si="44"/>
        <v/>
      </c>
      <c r="AL72" s="58"/>
      <c r="AM72" s="58"/>
      <c r="AN72" s="59">
        <f t="shared" si="45"/>
        <v>0</v>
      </c>
      <c r="AO72" s="60" t="str">
        <f t="shared" si="46"/>
        <v/>
      </c>
      <c r="AP72" s="58"/>
      <c r="AQ72" s="58"/>
      <c r="AR72" s="59">
        <f t="shared" si="47"/>
        <v>0</v>
      </c>
      <c r="AS72" s="60" t="str">
        <f t="shared" si="48"/>
        <v/>
      </c>
      <c r="AT72" s="59">
        <f>1098.02</f>
        <v>1098.02</v>
      </c>
      <c r="AU72" s="58"/>
      <c r="AV72" s="59">
        <f t="shared" si="49"/>
        <v>1098.02</v>
      </c>
      <c r="AW72" s="60" t="str">
        <f t="shared" si="50"/>
        <v/>
      </c>
      <c r="AX72" s="59">
        <f t="shared" si="54"/>
        <v>5548.02</v>
      </c>
      <c r="AY72" s="59">
        <v>8000</v>
      </c>
      <c r="AZ72" s="59">
        <f t="shared" si="52"/>
        <v>-2451.9799999999996</v>
      </c>
      <c r="BA72" s="60">
        <f t="shared" si="53"/>
        <v>0.69350250000000002</v>
      </c>
    </row>
    <row r="73" spans="1:53" x14ac:dyDescent="0.3">
      <c r="A73" s="57" t="s">
        <v>150</v>
      </c>
      <c r="B73" s="58"/>
      <c r="C73" s="58"/>
      <c r="D73" s="59">
        <f t="shared" si="27"/>
        <v>0</v>
      </c>
      <c r="E73" s="60" t="str">
        <f t="shared" si="28"/>
        <v/>
      </c>
      <c r="F73" s="58"/>
      <c r="G73" s="58"/>
      <c r="H73" s="59">
        <f t="shared" si="29"/>
        <v>0</v>
      </c>
      <c r="I73" s="60" t="str">
        <f t="shared" si="30"/>
        <v/>
      </c>
      <c r="J73" s="58"/>
      <c r="K73" s="58"/>
      <c r="L73" s="59">
        <f t="shared" si="31"/>
        <v>0</v>
      </c>
      <c r="M73" s="60" t="str">
        <f t="shared" si="32"/>
        <v/>
      </c>
      <c r="N73" s="58"/>
      <c r="O73" s="58"/>
      <c r="P73" s="59">
        <f t="shared" si="33"/>
        <v>0</v>
      </c>
      <c r="Q73" s="60" t="str">
        <f t="shared" si="34"/>
        <v/>
      </c>
      <c r="R73" s="58"/>
      <c r="S73" s="58"/>
      <c r="T73" s="59">
        <f t="shared" si="35"/>
        <v>0</v>
      </c>
      <c r="U73" s="60" t="str">
        <f t="shared" si="36"/>
        <v/>
      </c>
      <c r="V73" s="58"/>
      <c r="W73" s="58"/>
      <c r="X73" s="59">
        <f t="shared" si="37"/>
        <v>0</v>
      </c>
      <c r="Y73" s="60" t="str">
        <f t="shared" si="38"/>
        <v/>
      </c>
      <c r="Z73" s="58"/>
      <c r="AA73" s="58"/>
      <c r="AB73" s="59">
        <f t="shared" si="39"/>
        <v>0</v>
      </c>
      <c r="AC73" s="60" t="str">
        <f t="shared" si="40"/>
        <v/>
      </c>
      <c r="AD73" s="58"/>
      <c r="AE73" s="58"/>
      <c r="AF73" s="59">
        <f t="shared" si="41"/>
        <v>0</v>
      </c>
      <c r="AG73" s="60" t="str">
        <f t="shared" si="42"/>
        <v/>
      </c>
      <c r="AH73" s="58"/>
      <c r="AI73" s="58"/>
      <c r="AJ73" s="59">
        <f t="shared" si="43"/>
        <v>0</v>
      </c>
      <c r="AK73" s="60" t="str">
        <f t="shared" si="44"/>
        <v/>
      </c>
      <c r="AL73" s="58"/>
      <c r="AM73" s="58"/>
      <c r="AN73" s="59">
        <f t="shared" si="45"/>
        <v>0</v>
      </c>
      <c r="AO73" s="60" t="str">
        <f t="shared" si="46"/>
        <v/>
      </c>
      <c r="AP73" s="58"/>
      <c r="AQ73" s="58"/>
      <c r="AR73" s="59">
        <f t="shared" si="47"/>
        <v>0</v>
      </c>
      <c r="AS73" s="60" t="str">
        <f t="shared" si="48"/>
        <v/>
      </c>
      <c r="AT73" s="58"/>
      <c r="AU73" s="58"/>
      <c r="AV73" s="59">
        <f t="shared" si="49"/>
        <v>0</v>
      </c>
      <c r="AW73" s="60" t="str">
        <f t="shared" si="50"/>
        <v/>
      </c>
      <c r="AX73" s="59">
        <f t="shared" si="54"/>
        <v>0</v>
      </c>
      <c r="AY73" s="59">
        <f t="shared" si="54"/>
        <v>0</v>
      </c>
      <c r="AZ73" s="59">
        <f t="shared" si="52"/>
        <v>0</v>
      </c>
      <c r="BA73" s="60" t="str">
        <f t="shared" si="53"/>
        <v/>
      </c>
    </row>
    <row r="74" spans="1:53" x14ac:dyDescent="0.3">
      <c r="A74" s="57" t="s">
        <v>151</v>
      </c>
      <c r="B74" s="59">
        <f>386.79</f>
        <v>386.79</v>
      </c>
      <c r="C74" s="58"/>
      <c r="D74" s="59">
        <f t="shared" si="27"/>
        <v>386.79</v>
      </c>
      <c r="E74" s="60" t="str">
        <f t="shared" si="28"/>
        <v/>
      </c>
      <c r="F74" s="58"/>
      <c r="G74" s="58"/>
      <c r="H74" s="59">
        <f t="shared" si="29"/>
        <v>0</v>
      </c>
      <c r="I74" s="60" t="str">
        <f t="shared" si="30"/>
        <v/>
      </c>
      <c r="J74" s="59">
        <f>204.27</f>
        <v>204.27</v>
      </c>
      <c r="K74" s="58"/>
      <c r="L74" s="59">
        <f t="shared" si="31"/>
        <v>204.27</v>
      </c>
      <c r="M74" s="60" t="str">
        <f t="shared" si="32"/>
        <v/>
      </c>
      <c r="N74" s="59">
        <f>844.88</f>
        <v>844.88</v>
      </c>
      <c r="O74" s="58"/>
      <c r="P74" s="59">
        <f t="shared" si="33"/>
        <v>844.88</v>
      </c>
      <c r="Q74" s="60" t="str">
        <f t="shared" si="34"/>
        <v/>
      </c>
      <c r="R74" s="58"/>
      <c r="S74" s="58"/>
      <c r="T74" s="59">
        <f t="shared" si="35"/>
        <v>0</v>
      </c>
      <c r="U74" s="60" t="str">
        <f t="shared" si="36"/>
        <v/>
      </c>
      <c r="V74" s="59">
        <f>82.4</f>
        <v>82.4</v>
      </c>
      <c r="W74" s="58"/>
      <c r="X74" s="59">
        <f t="shared" si="37"/>
        <v>82.4</v>
      </c>
      <c r="Y74" s="60" t="str">
        <f t="shared" si="38"/>
        <v/>
      </c>
      <c r="Z74" s="59">
        <f>171.33</f>
        <v>171.33</v>
      </c>
      <c r="AA74" s="58"/>
      <c r="AB74" s="59">
        <f t="shared" si="39"/>
        <v>171.33</v>
      </c>
      <c r="AC74" s="60" t="str">
        <f t="shared" si="40"/>
        <v/>
      </c>
      <c r="AD74" s="59">
        <f>688.9</f>
        <v>688.9</v>
      </c>
      <c r="AE74" s="58"/>
      <c r="AF74" s="59">
        <f t="shared" si="41"/>
        <v>688.9</v>
      </c>
      <c r="AG74" s="60" t="str">
        <f t="shared" si="42"/>
        <v/>
      </c>
      <c r="AH74" s="59">
        <f>5057.6</f>
        <v>5057.6000000000004</v>
      </c>
      <c r="AI74" s="58"/>
      <c r="AJ74" s="59">
        <f t="shared" si="43"/>
        <v>5057.6000000000004</v>
      </c>
      <c r="AK74" s="60" t="str">
        <f t="shared" si="44"/>
        <v/>
      </c>
      <c r="AL74" s="58"/>
      <c r="AM74" s="58"/>
      <c r="AN74" s="59">
        <f t="shared" si="45"/>
        <v>0</v>
      </c>
      <c r="AO74" s="60" t="str">
        <f t="shared" si="46"/>
        <v/>
      </c>
      <c r="AP74" s="58"/>
      <c r="AQ74" s="58"/>
      <c r="AR74" s="59">
        <f t="shared" si="47"/>
        <v>0</v>
      </c>
      <c r="AS74" s="60" t="str">
        <f t="shared" si="48"/>
        <v/>
      </c>
      <c r="AT74" s="58"/>
      <c r="AU74" s="58"/>
      <c r="AV74" s="59">
        <f t="shared" si="49"/>
        <v>0</v>
      </c>
      <c r="AW74" s="60" t="str">
        <f t="shared" si="50"/>
        <v/>
      </c>
      <c r="AX74" s="59">
        <f t="shared" si="54"/>
        <v>7436.17</v>
      </c>
      <c r="AY74" s="59">
        <v>30000</v>
      </c>
      <c r="AZ74" s="59">
        <f t="shared" si="52"/>
        <v>-22563.83</v>
      </c>
      <c r="BA74" s="60">
        <f t="shared" si="53"/>
        <v>0.24787233333333333</v>
      </c>
    </row>
    <row r="75" spans="1:53" x14ac:dyDescent="0.3">
      <c r="A75" s="57" t="s">
        <v>152</v>
      </c>
      <c r="B75" s="59">
        <f>118.99</f>
        <v>118.99</v>
      </c>
      <c r="C75" s="58"/>
      <c r="D75" s="59">
        <f t="shared" si="27"/>
        <v>118.99</v>
      </c>
      <c r="E75" s="60" t="str">
        <f t="shared" si="28"/>
        <v/>
      </c>
      <c r="F75" s="59">
        <f>1927.38</f>
        <v>1927.38</v>
      </c>
      <c r="G75" s="58"/>
      <c r="H75" s="59">
        <f t="shared" si="29"/>
        <v>1927.38</v>
      </c>
      <c r="I75" s="60" t="str">
        <f t="shared" si="30"/>
        <v/>
      </c>
      <c r="J75" s="59">
        <f>1714.45</f>
        <v>1714.45</v>
      </c>
      <c r="K75" s="58"/>
      <c r="L75" s="59">
        <f t="shared" si="31"/>
        <v>1714.45</v>
      </c>
      <c r="M75" s="60" t="str">
        <f t="shared" si="32"/>
        <v/>
      </c>
      <c r="N75" s="59">
        <f>191.15</f>
        <v>191.15</v>
      </c>
      <c r="O75" s="58"/>
      <c r="P75" s="59">
        <f t="shared" si="33"/>
        <v>191.15</v>
      </c>
      <c r="Q75" s="60" t="str">
        <f t="shared" si="34"/>
        <v/>
      </c>
      <c r="R75" s="59">
        <f>534.34</f>
        <v>534.34</v>
      </c>
      <c r="S75" s="58"/>
      <c r="T75" s="59">
        <f t="shared" si="35"/>
        <v>534.34</v>
      </c>
      <c r="U75" s="60" t="str">
        <f t="shared" si="36"/>
        <v/>
      </c>
      <c r="V75" s="59">
        <f>255.29</f>
        <v>255.29</v>
      </c>
      <c r="W75" s="58"/>
      <c r="X75" s="59">
        <f t="shared" si="37"/>
        <v>255.29</v>
      </c>
      <c r="Y75" s="60" t="str">
        <f t="shared" si="38"/>
        <v/>
      </c>
      <c r="Z75" s="59">
        <f>291.8</f>
        <v>291.8</v>
      </c>
      <c r="AA75" s="58"/>
      <c r="AB75" s="59">
        <f t="shared" si="39"/>
        <v>291.8</v>
      </c>
      <c r="AC75" s="60" t="str">
        <f t="shared" si="40"/>
        <v/>
      </c>
      <c r="AD75" s="59">
        <f>538.28</f>
        <v>538.28</v>
      </c>
      <c r="AE75" s="58"/>
      <c r="AF75" s="59">
        <f t="shared" si="41"/>
        <v>538.28</v>
      </c>
      <c r="AG75" s="60" t="str">
        <f t="shared" si="42"/>
        <v/>
      </c>
      <c r="AH75" s="59">
        <f>586.23</f>
        <v>586.23</v>
      </c>
      <c r="AI75" s="58"/>
      <c r="AJ75" s="59">
        <f t="shared" si="43"/>
        <v>586.23</v>
      </c>
      <c r="AK75" s="60" t="str">
        <f t="shared" si="44"/>
        <v/>
      </c>
      <c r="AL75" s="59">
        <f>1884.47</f>
        <v>1884.47</v>
      </c>
      <c r="AM75" s="58"/>
      <c r="AN75" s="59">
        <f t="shared" si="45"/>
        <v>1884.47</v>
      </c>
      <c r="AO75" s="60" t="str">
        <f t="shared" si="46"/>
        <v/>
      </c>
      <c r="AP75" s="59">
        <f>321.32</f>
        <v>321.32</v>
      </c>
      <c r="AQ75" s="58"/>
      <c r="AR75" s="59">
        <f t="shared" si="47"/>
        <v>321.32</v>
      </c>
      <c r="AS75" s="60" t="str">
        <f t="shared" si="48"/>
        <v/>
      </c>
      <c r="AT75" s="59">
        <f>607.8</f>
        <v>607.79999999999995</v>
      </c>
      <c r="AU75" s="58"/>
      <c r="AV75" s="59">
        <f t="shared" si="49"/>
        <v>607.79999999999995</v>
      </c>
      <c r="AW75" s="60" t="str">
        <f t="shared" si="50"/>
        <v/>
      </c>
      <c r="AX75" s="59">
        <f t="shared" si="54"/>
        <v>8971.5</v>
      </c>
      <c r="AY75" s="59">
        <v>30000</v>
      </c>
      <c r="AZ75" s="59">
        <f t="shared" si="52"/>
        <v>-21028.5</v>
      </c>
      <c r="BA75" s="60">
        <f t="shared" si="53"/>
        <v>0.29904999999999998</v>
      </c>
    </row>
    <row r="76" spans="1:53" x14ac:dyDescent="0.3">
      <c r="A76" s="57" t="s">
        <v>153</v>
      </c>
      <c r="B76" s="61">
        <f>((B73)+(B74))+(B75)</f>
        <v>505.78000000000003</v>
      </c>
      <c r="C76" s="61">
        <f>((C73)+(C74))+(C75)</f>
        <v>0</v>
      </c>
      <c r="D76" s="61">
        <f t="shared" si="27"/>
        <v>505.78000000000003</v>
      </c>
      <c r="E76" s="62" t="str">
        <f t="shared" si="28"/>
        <v/>
      </c>
      <c r="F76" s="61">
        <f>((F73)+(F74))+(F75)</f>
        <v>1927.38</v>
      </c>
      <c r="G76" s="61">
        <f>((G73)+(G74))+(G75)</f>
        <v>0</v>
      </c>
      <c r="H76" s="61">
        <f t="shared" si="29"/>
        <v>1927.38</v>
      </c>
      <c r="I76" s="62" t="str">
        <f t="shared" si="30"/>
        <v/>
      </c>
      <c r="J76" s="61">
        <f>((J73)+(J74))+(J75)</f>
        <v>1918.72</v>
      </c>
      <c r="K76" s="61">
        <f>((K73)+(K74))+(K75)</f>
        <v>0</v>
      </c>
      <c r="L76" s="61">
        <f t="shared" si="31"/>
        <v>1918.72</v>
      </c>
      <c r="M76" s="62" t="str">
        <f t="shared" si="32"/>
        <v/>
      </c>
      <c r="N76" s="61">
        <f>((N73)+(N74))+(N75)</f>
        <v>1036.03</v>
      </c>
      <c r="O76" s="61">
        <f>((O73)+(O74))+(O75)</f>
        <v>0</v>
      </c>
      <c r="P76" s="61">
        <f t="shared" si="33"/>
        <v>1036.03</v>
      </c>
      <c r="Q76" s="62" t="str">
        <f t="shared" si="34"/>
        <v/>
      </c>
      <c r="R76" s="61">
        <f>((R73)+(R74))+(R75)</f>
        <v>534.34</v>
      </c>
      <c r="S76" s="61">
        <f>((S73)+(S74))+(S75)</f>
        <v>0</v>
      </c>
      <c r="T76" s="61">
        <f t="shared" si="35"/>
        <v>534.34</v>
      </c>
      <c r="U76" s="62" t="str">
        <f t="shared" si="36"/>
        <v/>
      </c>
      <c r="V76" s="61">
        <f>((V73)+(V74))+(V75)</f>
        <v>337.69</v>
      </c>
      <c r="W76" s="61">
        <f>((W73)+(W74))+(W75)</f>
        <v>0</v>
      </c>
      <c r="X76" s="61">
        <f t="shared" si="37"/>
        <v>337.69</v>
      </c>
      <c r="Y76" s="62" t="str">
        <f t="shared" si="38"/>
        <v/>
      </c>
      <c r="Z76" s="61">
        <f>((Z73)+(Z74))+(Z75)</f>
        <v>463.13</v>
      </c>
      <c r="AA76" s="61">
        <f>((AA73)+(AA74))+(AA75)</f>
        <v>0</v>
      </c>
      <c r="AB76" s="61">
        <f t="shared" si="39"/>
        <v>463.13</v>
      </c>
      <c r="AC76" s="62" t="str">
        <f t="shared" si="40"/>
        <v/>
      </c>
      <c r="AD76" s="61">
        <f>((AD73)+(AD74))+(AD75)</f>
        <v>1227.1799999999998</v>
      </c>
      <c r="AE76" s="61">
        <f>((AE73)+(AE74))+(AE75)</f>
        <v>0</v>
      </c>
      <c r="AF76" s="61">
        <f t="shared" si="41"/>
        <v>1227.1799999999998</v>
      </c>
      <c r="AG76" s="62" t="str">
        <f t="shared" si="42"/>
        <v/>
      </c>
      <c r="AH76" s="61">
        <f>((AH73)+(AH74))+(AH75)</f>
        <v>5643.83</v>
      </c>
      <c r="AI76" s="61">
        <f>((AI73)+(AI74))+(AI75)</f>
        <v>0</v>
      </c>
      <c r="AJ76" s="61">
        <f t="shared" si="43"/>
        <v>5643.83</v>
      </c>
      <c r="AK76" s="62" t="str">
        <f t="shared" si="44"/>
        <v/>
      </c>
      <c r="AL76" s="61">
        <f>((AL73)+(AL74))+(AL75)</f>
        <v>1884.47</v>
      </c>
      <c r="AM76" s="61">
        <f>((AM73)+(AM74))+(AM75)</f>
        <v>0</v>
      </c>
      <c r="AN76" s="61">
        <f t="shared" si="45"/>
        <v>1884.47</v>
      </c>
      <c r="AO76" s="62" t="str">
        <f t="shared" si="46"/>
        <v/>
      </c>
      <c r="AP76" s="61">
        <f>((AP73)+(AP74))+(AP75)</f>
        <v>321.32</v>
      </c>
      <c r="AQ76" s="61">
        <f>((AQ73)+(AQ74))+(AQ75)</f>
        <v>0</v>
      </c>
      <c r="AR76" s="61">
        <f t="shared" si="47"/>
        <v>321.32</v>
      </c>
      <c r="AS76" s="62" t="str">
        <f t="shared" si="48"/>
        <v/>
      </c>
      <c r="AT76" s="61">
        <f>((AT73)+(AT74))+(AT75)</f>
        <v>607.79999999999995</v>
      </c>
      <c r="AU76" s="61">
        <f>((AU73)+(AU74))+(AU75)</f>
        <v>0</v>
      </c>
      <c r="AV76" s="61">
        <f t="shared" si="49"/>
        <v>607.79999999999995</v>
      </c>
      <c r="AW76" s="62" t="str">
        <f t="shared" si="50"/>
        <v/>
      </c>
      <c r="AX76" s="61">
        <f t="shared" si="54"/>
        <v>16407.669999999998</v>
      </c>
      <c r="AY76" s="61">
        <f t="shared" si="54"/>
        <v>0</v>
      </c>
      <c r="AZ76" s="61">
        <f t="shared" si="52"/>
        <v>16407.669999999998</v>
      </c>
      <c r="BA76" s="62" t="str">
        <f t="shared" si="53"/>
        <v/>
      </c>
    </row>
    <row r="77" spans="1:53" x14ac:dyDescent="0.3">
      <c r="A77" s="57" t="s">
        <v>154</v>
      </c>
      <c r="B77" s="58"/>
      <c r="C77" s="58"/>
      <c r="D77" s="59">
        <f t="shared" si="27"/>
        <v>0</v>
      </c>
      <c r="E77" s="60" t="str">
        <f t="shared" si="28"/>
        <v/>
      </c>
      <c r="F77" s="58"/>
      <c r="G77" s="58"/>
      <c r="H77" s="59">
        <f t="shared" si="29"/>
        <v>0</v>
      </c>
      <c r="I77" s="60" t="str">
        <f t="shared" si="30"/>
        <v/>
      </c>
      <c r="J77" s="58"/>
      <c r="K77" s="58"/>
      <c r="L77" s="59">
        <f t="shared" si="31"/>
        <v>0</v>
      </c>
      <c r="M77" s="60" t="str">
        <f t="shared" si="32"/>
        <v/>
      </c>
      <c r="N77" s="58"/>
      <c r="O77" s="58"/>
      <c r="P77" s="59">
        <f t="shared" si="33"/>
        <v>0</v>
      </c>
      <c r="Q77" s="60" t="str">
        <f t="shared" si="34"/>
        <v/>
      </c>
      <c r="R77" s="58"/>
      <c r="S77" s="58"/>
      <c r="T77" s="59">
        <f t="shared" si="35"/>
        <v>0</v>
      </c>
      <c r="U77" s="60" t="str">
        <f t="shared" si="36"/>
        <v/>
      </c>
      <c r="V77" s="58"/>
      <c r="W77" s="58"/>
      <c r="X77" s="59">
        <f t="shared" si="37"/>
        <v>0</v>
      </c>
      <c r="Y77" s="60" t="str">
        <f t="shared" si="38"/>
        <v/>
      </c>
      <c r="Z77" s="58"/>
      <c r="AA77" s="58"/>
      <c r="AB77" s="59">
        <f t="shared" si="39"/>
        <v>0</v>
      </c>
      <c r="AC77" s="60" t="str">
        <f t="shared" si="40"/>
        <v/>
      </c>
      <c r="AD77" s="58"/>
      <c r="AE77" s="58"/>
      <c r="AF77" s="59">
        <f t="shared" si="41"/>
        <v>0</v>
      </c>
      <c r="AG77" s="60" t="str">
        <f t="shared" si="42"/>
        <v/>
      </c>
      <c r="AH77" s="58"/>
      <c r="AI77" s="58"/>
      <c r="AJ77" s="59">
        <f t="shared" si="43"/>
        <v>0</v>
      </c>
      <c r="AK77" s="60" t="str">
        <f t="shared" si="44"/>
        <v/>
      </c>
      <c r="AL77" s="58"/>
      <c r="AM77" s="58"/>
      <c r="AN77" s="59">
        <f t="shared" si="45"/>
        <v>0</v>
      </c>
      <c r="AO77" s="60" t="str">
        <f t="shared" si="46"/>
        <v/>
      </c>
      <c r="AP77" s="58"/>
      <c r="AQ77" s="58"/>
      <c r="AR77" s="59">
        <f t="shared" si="47"/>
        <v>0</v>
      </c>
      <c r="AS77" s="60" t="str">
        <f t="shared" si="48"/>
        <v/>
      </c>
      <c r="AT77" s="59">
        <f>118.75</f>
        <v>118.75</v>
      </c>
      <c r="AU77" s="58"/>
      <c r="AV77" s="59">
        <f t="shared" si="49"/>
        <v>118.75</v>
      </c>
      <c r="AW77" s="60" t="str">
        <f t="shared" si="50"/>
        <v/>
      </c>
      <c r="AX77" s="59">
        <f t="shared" si="54"/>
        <v>118.75</v>
      </c>
      <c r="AY77" s="59">
        <v>0</v>
      </c>
      <c r="AZ77" s="59">
        <f t="shared" si="52"/>
        <v>118.75</v>
      </c>
      <c r="BA77" s="60" t="str">
        <f t="shared" si="53"/>
        <v/>
      </c>
    </row>
    <row r="78" spans="1:53" x14ac:dyDescent="0.3">
      <c r="A78" s="57" t="s">
        <v>155</v>
      </c>
      <c r="B78" s="58"/>
      <c r="C78" s="58"/>
      <c r="D78" s="59">
        <f t="shared" si="27"/>
        <v>0</v>
      </c>
      <c r="E78" s="60" t="str">
        <f t="shared" si="28"/>
        <v/>
      </c>
      <c r="F78" s="58"/>
      <c r="G78" s="58"/>
      <c r="H78" s="59">
        <f t="shared" si="29"/>
        <v>0</v>
      </c>
      <c r="I78" s="60" t="str">
        <f t="shared" si="30"/>
        <v/>
      </c>
      <c r="J78" s="58"/>
      <c r="K78" s="58"/>
      <c r="L78" s="59">
        <f t="shared" si="31"/>
        <v>0</v>
      </c>
      <c r="M78" s="60" t="str">
        <f t="shared" si="32"/>
        <v/>
      </c>
      <c r="N78" s="58"/>
      <c r="O78" s="58"/>
      <c r="P78" s="59">
        <f t="shared" si="33"/>
        <v>0</v>
      </c>
      <c r="Q78" s="60" t="str">
        <f t="shared" si="34"/>
        <v/>
      </c>
      <c r="R78" s="58"/>
      <c r="S78" s="58"/>
      <c r="T78" s="59">
        <f t="shared" si="35"/>
        <v>0</v>
      </c>
      <c r="U78" s="60" t="str">
        <f t="shared" si="36"/>
        <v/>
      </c>
      <c r="V78" s="58"/>
      <c r="W78" s="58"/>
      <c r="X78" s="59">
        <f t="shared" si="37"/>
        <v>0</v>
      </c>
      <c r="Y78" s="60" t="str">
        <f t="shared" si="38"/>
        <v/>
      </c>
      <c r="Z78" s="58"/>
      <c r="AA78" s="58"/>
      <c r="AB78" s="59">
        <f t="shared" si="39"/>
        <v>0</v>
      </c>
      <c r="AC78" s="60" t="str">
        <f t="shared" si="40"/>
        <v/>
      </c>
      <c r="AD78" s="58"/>
      <c r="AE78" s="58"/>
      <c r="AF78" s="59">
        <f t="shared" si="41"/>
        <v>0</v>
      </c>
      <c r="AG78" s="60" t="str">
        <f t="shared" si="42"/>
        <v/>
      </c>
      <c r="AH78" s="58"/>
      <c r="AI78" s="58"/>
      <c r="AJ78" s="59">
        <f t="shared" si="43"/>
        <v>0</v>
      </c>
      <c r="AK78" s="60" t="str">
        <f t="shared" si="44"/>
        <v/>
      </c>
      <c r="AL78" s="58"/>
      <c r="AM78" s="58"/>
      <c r="AN78" s="59">
        <f t="shared" si="45"/>
        <v>0</v>
      </c>
      <c r="AO78" s="60" t="str">
        <f t="shared" si="46"/>
        <v/>
      </c>
      <c r="AP78" s="58"/>
      <c r="AQ78" s="58"/>
      <c r="AR78" s="59">
        <f t="shared" si="47"/>
        <v>0</v>
      </c>
      <c r="AS78" s="60" t="str">
        <f t="shared" si="48"/>
        <v/>
      </c>
      <c r="AT78" s="58"/>
      <c r="AU78" s="58"/>
      <c r="AV78" s="59">
        <f t="shared" si="49"/>
        <v>0</v>
      </c>
      <c r="AW78" s="60" t="str">
        <f t="shared" si="50"/>
        <v/>
      </c>
      <c r="AX78" s="59">
        <f t="shared" si="54"/>
        <v>0</v>
      </c>
      <c r="AY78" s="59">
        <f t="shared" si="54"/>
        <v>0</v>
      </c>
      <c r="AZ78" s="59">
        <f t="shared" si="52"/>
        <v>0</v>
      </c>
      <c r="BA78" s="60" t="str">
        <f t="shared" si="53"/>
        <v/>
      </c>
    </row>
    <row r="79" spans="1:53" x14ac:dyDescent="0.3">
      <c r="A79" s="57" t="s">
        <v>156</v>
      </c>
      <c r="B79" s="59">
        <f>641.7</f>
        <v>641.70000000000005</v>
      </c>
      <c r="C79" s="58"/>
      <c r="D79" s="59">
        <f t="shared" si="27"/>
        <v>641.70000000000005</v>
      </c>
      <c r="E79" s="60" t="str">
        <f t="shared" si="28"/>
        <v/>
      </c>
      <c r="F79" s="59">
        <f>312.01</f>
        <v>312.01</v>
      </c>
      <c r="G79" s="58"/>
      <c r="H79" s="59">
        <f t="shared" si="29"/>
        <v>312.01</v>
      </c>
      <c r="I79" s="60" t="str">
        <f t="shared" si="30"/>
        <v/>
      </c>
      <c r="J79" s="59">
        <f>171.97</f>
        <v>171.97</v>
      </c>
      <c r="K79" s="58"/>
      <c r="L79" s="59">
        <f t="shared" si="31"/>
        <v>171.97</v>
      </c>
      <c r="M79" s="60" t="str">
        <f t="shared" si="32"/>
        <v/>
      </c>
      <c r="N79" s="59">
        <f>409.04</f>
        <v>409.04</v>
      </c>
      <c r="O79" s="58"/>
      <c r="P79" s="59">
        <f t="shared" si="33"/>
        <v>409.04</v>
      </c>
      <c r="Q79" s="60" t="str">
        <f t="shared" si="34"/>
        <v/>
      </c>
      <c r="R79" s="59">
        <f>312.93</f>
        <v>312.93</v>
      </c>
      <c r="S79" s="58"/>
      <c r="T79" s="59">
        <f t="shared" si="35"/>
        <v>312.93</v>
      </c>
      <c r="U79" s="60" t="str">
        <f t="shared" si="36"/>
        <v/>
      </c>
      <c r="V79" s="59">
        <f>190.38</f>
        <v>190.38</v>
      </c>
      <c r="W79" s="58"/>
      <c r="X79" s="59">
        <f t="shared" si="37"/>
        <v>190.38</v>
      </c>
      <c r="Y79" s="60" t="str">
        <f t="shared" si="38"/>
        <v/>
      </c>
      <c r="Z79" s="58"/>
      <c r="AA79" s="58"/>
      <c r="AB79" s="59">
        <f t="shared" si="39"/>
        <v>0</v>
      </c>
      <c r="AC79" s="60" t="str">
        <f t="shared" si="40"/>
        <v/>
      </c>
      <c r="AD79" s="59">
        <f>1500.22</f>
        <v>1500.22</v>
      </c>
      <c r="AE79" s="58"/>
      <c r="AF79" s="59">
        <f t="shared" si="41"/>
        <v>1500.22</v>
      </c>
      <c r="AG79" s="60" t="str">
        <f t="shared" si="42"/>
        <v/>
      </c>
      <c r="AH79" s="59">
        <f>77.51</f>
        <v>77.510000000000005</v>
      </c>
      <c r="AI79" s="58"/>
      <c r="AJ79" s="59">
        <f t="shared" si="43"/>
        <v>77.510000000000005</v>
      </c>
      <c r="AK79" s="60" t="str">
        <f t="shared" si="44"/>
        <v/>
      </c>
      <c r="AL79" s="59">
        <f>331.56</f>
        <v>331.56</v>
      </c>
      <c r="AM79" s="58"/>
      <c r="AN79" s="59">
        <f t="shared" si="45"/>
        <v>331.56</v>
      </c>
      <c r="AO79" s="60" t="str">
        <f t="shared" si="46"/>
        <v/>
      </c>
      <c r="AP79" s="59">
        <f>132.61</f>
        <v>132.61000000000001</v>
      </c>
      <c r="AQ79" s="58"/>
      <c r="AR79" s="59">
        <f t="shared" si="47"/>
        <v>132.61000000000001</v>
      </c>
      <c r="AS79" s="60" t="str">
        <f t="shared" si="48"/>
        <v/>
      </c>
      <c r="AT79" s="59">
        <f>232.19</f>
        <v>232.19</v>
      </c>
      <c r="AU79" s="58"/>
      <c r="AV79" s="59">
        <f t="shared" si="49"/>
        <v>232.19</v>
      </c>
      <c r="AW79" s="60" t="str">
        <f t="shared" si="50"/>
        <v/>
      </c>
      <c r="AX79" s="59">
        <f t="shared" si="54"/>
        <v>4312.12</v>
      </c>
      <c r="AY79" s="59">
        <v>6000</v>
      </c>
      <c r="AZ79" s="59">
        <f t="shared" si="52"/>
        <v>-1687.88</v>
      </c>
      <c r="BA79" s="60">
        <f t="shared" si="53"/>
        <v>0.7186866666666667</v>
      </c>
    </row>
    <row r="80" spans="1:53" x14ac:dyDescent="0.3">
      <c r="A80" s="57" t="s">
        <v>157</v>
      </c>
      <c r="B80" s="59">
        <f>148.83</f>
        <v>148.83000000000001</v>
      </c>
      <c r="C80" s="58"/>
      <c r="D80" s="59">
        <f t="shared" si="27"/>
        <v>148.83000000000001</v>
      </c>
      <c r="E80" s="60" t="str">
        <f t="shared" si="28"/>
        <v/>
      </c>
      <c r="F80" s="59">
        <f>67.35</f>
        <v>67.349999999999994</v>
      </c>
      <c r="G80" s="58"/>
      <c r="H80" s="59">
        <f t="shared" si="29"/>
        <v>67.349999999999994</v>
      </c>
      <c r="I80" s="60" t="str">
        <f t="shared" si="30"/>
        <v/>
      </c>
      <c r="J80" s="59">
        <f>85.66</f>
        <v>85.66</v>
      </c>
      <c r="K80" s="58"/>
      <c r="L80" s="59">
        <f t="shared" si="31"/>
        <v>85.66</v>
      </c>
      <c r="M80" s="60" t="str">
        <f t="shared" si="32"/>
        <v/>
      </c>
      <c r="N80" s="59">
        <f>27.54</f>
        <v>27.54</v>
      </c>
      <c r="O80" s="58"/>
      <c r="P80" s="59">
        <f t="shared" si="33"/>
        <v>27.54</v>
      </c>
      <c r="Q80" s="60" t="str">
        <f t="shared" si="34"/>
        <v/>
      </c>
      <c r="R80" s="59">
        <f>256.73</f>
        <v>256.73</v>
      </c>
      <c r="S80" s="58"/>
      <c r="T80" s="59">
        <f t="shared" si="35"/>
        <v>256.73</v>
      </c>
      <c r="U80" s="60" t="str">
        <f t="shared" si="36"/>
        <v/>
      </c>
      <c r="V80" s="59">
        <f>78.46</f>
        <v>78.459999999999994</v>
      </c>
      <c r="W80" s="58"/>
      <c r="X80" s="59">
        <f t="shared" si="37"/>
        <v>78.459999999999994</v>
      </c>
      <c r="Y80" s="60" t="str">
        <f t="shared" si="38"/>
        <v/>
      </c>
      <c r="Z80" s="59">
        <f>4.63</f>
        <v>4.63</v>
      </c>
      <c r="AA80" s="58"/>
      <c r="AB80" s="59">
        <f t="shared" si="39"/>
        <v>4.63</v>
      </c>
      <c r="AC80" s="60" t="str">
        <f t="shared" si="40"/>
        <v/>
      </c>
      <c r="AD80" s="59">
        <f>31.67</f>
        <v>31.67</v>
      </c>
      <c r="AE80" s="58"/>
      <c r="AF80" s="59">
        <f t="shared" si="41"/>
        <v>31.67</v>
      </c>
      <c r="AG80" s="60" t="str">
        <f t="shared" si="42"/>
        <v/>
      </c>
      <c r="AH80" s="59">
        <f>166.35</f>
        <v>166.35</v>
      </c>
      <c r="AI80" s="58"/>
      <c r="AJ80" s="59">
        <f t="shared" si="43"/>
        <v>166.35</v>
      </c>
      <c r="AK80" s="60" t="str">
        <f t="shared" si="44"/>
        <v/>
      </c>
      <c r="AL80" s="59">
        <f>384.32</f>
        <v>384.32</v>
      </c>
      <c r="AM80" s="58"/>
      <c r="AN80" s="59">
        <f t="shared" si="45"/>
        <v>384.32</v>
      </c>
      <c r="AO80" s="60" t="str">
        <f t="shared" si="46"/>
        <v/>
      </c>
      <c r="AP80" s="59">
        <f>137.92</f>
        <v>137.91999999999999</v>
      </c>
      <c r="AQ80" s="58"/>
      <c r="AR80" s="59">
        <f t="shared" si="47"/>
        <v>137.91999999999999</v>
      </c>
      <c r="AS80" s="60" t="str">
        <f t="shared" si="48"/>
        <v/>
      </c>
      <c r="AT80" s="59">
        <f>129.45</f>
        <v>129.44999999999999</v>
      </c>
      <c r="AU80" s="58"/>
      <c r="AV80" s="59">
        <f t="shared" si="49"/>
        <v>129.44999999999999</v>
      </c>
      <c r="AW80" s="60" t="str">
        <f t="shared" si="50"/>
        <v/>
      </c>
      <c r="AX80" s="59">
        <f t="shared" si="54"/>
        <v>1518.9100000000003</v>
      </c>
      <c r="AY80" s="59">
        <v>3500</v>
      </c>
      <c r="AZ80" s="59">
        <f t="shared" si="52"/>
        <v>-1981.0899999999997</v>
      </c>
      <c r="BA80" s="60">
        <f t="shared" si="53"/>
        <v>0.43397428571428581</v>
      </c>
    </row>
    <row r="81" spans="1:53" x14ac:dyDescent="0.3">
      <c r="A81" s="57" t="s">
        <v>158</v>
      </c>
      <c r="B81" s="58"/>
      <c r="C81" s="58"/>
      <c r="D81" s="59">
        <f t="shared" si="27"/>
        <v>0</v>
      </c>
      <c r="E81" s="60" t="str">
        <f t="shared" si="28"/>
        <v/>
      </c>
      <c r="F81" s="59">
        <f>562.99</f>
        <v>562.99</v>
      </c>
      <c r="G81" s="58"/>
      <c r="H81" s="59">
        <f t="shared" si="29"/>
        <v>562.99</v>
      </c>
      <c r="I81" s="60" t="str">
        <f t="shared" si="30"/>
        <v/>
      </c>
      <c r="J81" s="59">
        <f>237.92</f>
        <v>237.92</v>
      </c>
      <c r="K81" s="58"/>
      <c r="L81" s="59">
        <f t="shared" si="31"/>
        <v>237.92</v>
      </c>
      <c r="M81" s="60" t="str">
        <f t="shared" si="32"/>
        <v/>
      </c>
      <c r="N81" s="59">
        <f>612.99</f>
        <v>612.99</v>
      </c>
      <c r="O81" s="58"/>
      <c r="P81" s="59">
        <f t="shared" si="33"/>
        <v>612.99</v>
      </c>
      <c r="Q81" s="60" t="str">
        <f t="shared" si="34"/>
        <v/>
      </c>
      <c r="R81" s="59">
        <f>684.11</f>
        <v>684.11</v>
      </c>
      <c r="S81" s="58"/>
      <c r="T81" s="59">
        <f t="shared" si="35"/>
        <v>684.11</v>
      </c>
      <c r="U81" s="60" t="str">
        <f t="shared" si="36"/>
        <v/>
      </c>
      <c r="V81" s="59">
        <f>147.5</f>
        <v>147.5</v>
      </c>
      <c r="W81" s="58"/>
      <c r="X81" s="59">
        <f t="shared" si="37"/>
        <v>147.5</v>
      </c>
      <c r="Y81" s="60" t="str">
        <f t="shared" si="38"/>
        <v/>
      </c>
      <c r="Z81" s="59">
        <f>29.94</f>
        <v>29.94</v>
      </c>
      <c r="AA81" s="58"/>
      <c r="AB81" s="59">
        <f t="shared" si="39"/>
        <v>29.94</v>
      </c>
      <c r="AC81" s="60" t="str">
        <f t="shared" si="40"/>
        <v/>
      </c>
      <c r="AD81" s="59">
        <f>100.25</f>
        <v>100.25</v>
      </c>
      <c r="AE81" s="58"/>
      <c r="AF81" s="59">
        <f t="shared" si="41"/>
        <v>100.25</v>
      </c>
      <c r="AG81" s="60" t="str">
        <f t="shared" si="42"/>
        <v/>
      </c>
      <c r="AH81" s="59">
        <f>272.34</f>
        <v>272.33999999999997</v>
      </c>
      <c r="AI81" s="58"/>
      <c r="AJ81" s="59">
        <f t="shared" si="43"/>
        <v>272.33999999999997</v>
      </c>
      <c r="AK81" s="60" t="str">
        <f t="shared" si="44"/>
        <v/>
      </c>
      <c r="AL81" s="58"/>
      <c r="AM81" s="58"/>
      <c r="AN81" s="59">
        <f t="shared" si="45"/>
        <v>0</v>
      </c>
      <c r="AO81" s="60" t="str">
        <f t="shared" si="46"/>
        <v/>
      </c>
      <c r="AP81" s="59">
        <f>298.03</f>
        <v>298.02999999999997</v>
      </c>
      <c r="AQ81" s="58"/>
      <c r="AR81" s="59">
        <f t="shared" si="47"/>
        <v>298.02999999999997</v>
      </c>
      <c r="AS81" s="60" t="str">
        <f t="shared" si="48"/>
        <v/>
      </c>
      <c r="AT81" s="58"/>
      <c r="AU81" s="58"/>
      <c r="AV81" s="59">
        <f t="shared" si="49"/>
        <v>0</v>
      </c>
      <c r="AW81" s="60" t="str">
        <f t="shared" si="50"/>
        <v/>
      </c>
      <c r="AX81" s="59">
        <f t="shared" si="54"/>
        <v>2946.0700000000006</v>
      </c>
      <c r="AY81" s="59">
        <v>10000</v>
      </c>
      <c r="AZ81" s="59">
        <f t="shared" si="52"/>
        <v>-7053.9299999999994</v>
      </c>
      <c r="BA81" s="60">
        <f t="shared" si="53"/>
        <v>0.29460700000000006</v>
      </c>
    </row>
    <row r="82" spans="1:53" x14ac:dyDescent="0.3">
      <c r="A82" s="57" t="s">
        <v>159</v>
      </c>
      <c r="B82" s="58"/>
      <c r="C82" s="58"/>
      <c r="D82" s="59">
        <f t="shared" si="27"/>
        <v>0</v>
      </c>
      <c r="E82" s="60" t="str">
        <f t="shared" si="28"/>
        <v/>
      </c>
      <c r="F82" s="58"/>
      <c r="G82" s="58"/>
      <c r="H82" s="59">
        <f t="shared" si="29"/>
        <v>0</v>
      </c>
      <c r="I82" s="60" t="str">
        <f t="shared" si="30"/>
        <v/>
      </c>
      <c r="J82" s="58"/>
      <c r="K82" s="58"/>
      <c r="L82" s="59">
        <f t="shared" si="31"/>
        <v>0</v>
      </c>
      <c r="M82" s="60" t="str">
        <f t="shared" si="32"/>
        <v/>
      </c>
      <c r="N82" s="58"/>
      <c r="O82" s="58"/>
      <c r="P82" s="59">
        <f t="shared" si="33"/>
        <v>0</v>
      </c>
      <c r="Q82" s="60" t="str">
        <f t="shared" si="34"/>
        <v/>
      </c>
      <c r="R82" s="58"/>
      <c r="S82" s="58"/>
      <c r="T82" s="59">
        <f t="shared" si="35"/>
        <v>0</v>
      </c>
      <c r="U82" s="60" t="str">
        <f t="shared" si="36"/>
        <v/>
      </c>
      <c r="V82" s="59">
        <f>73.54</f>
        <v>73.540000000000006</v>
      </c>
      <c r="W82" s="58"/>
      <c r="X82" s="59">
        <f t="shared" si="37"/>
        <v>73.540000000000006</v>
      </c>
      <c r="Y82" s="60" t="str">
        <f t="shared" si="38"/>
        <v/>
      </c>
      <c r="Z82" s="59">
        <f>23.1</f>
        <v>23.1</v>
      </c>
      <c r="AA82" s="58"/>
      <c r="AB82" s="59">
        <f t="shared" si="39"/>
        <v>23.1</v>
      </c>
      <c r="AC82" s="60" t="str">
        <f t="shared" si="40"/>
        <v/>
      </c>
      <c r="AD82" s="58"/>
      <c r="AE82" s="58"/>
      <c r="AF82" s="59">
        <f t="shared" si="41"/>
        <v>0</v>
      </c>
      <c r="AG82" s="60" t="str">
        <f t="shared" si="42"/>
        <v/>
      </c>
      <c r="AH82" s="59">
        <f>995.42</f>
        <v>995.42</v>
      </c>
      <c r="AI82" s="58"/>
      <c r="AJ82" s="59">
        <f t="shared" si="43"/>
        <v>995.42</v>
      </c>
      <c r="AK82" s="60" t="str">
        <f t="shared" si="44"/>
        <v/>
      </c>
      <c r="AL82" s="59">
        <f>537.14</f>
        <v>537.14</v>
      </c>
      <c r="AM82" s="58"/>
      <c r="AN82" s="59">
        <f t="shared" si="45"/>
        <v>537.14</v>
      </c>
      <c r="AO82" s="60" t="str">
        <f t="shared" si="46"/>
        <v/>
      </c>
      <c r="AP82" s="58"/>
      <c r="AQ82" s="58"/>
      <c r="AR82" s="59">
        <f t="shared" si="47"/>
        <v>0</v>
      </c>
      <c r="AS82" s="60" t="str">
        <f t="shared" si="48"/>
        <v/>
      </c>
      <c r="AT82" s="59">
        <f>117.23</f>
        <v>117.23</v>
      </c>
      <c r="AU82" s="58"/>
      <c r="AV82" s="59">
        <f t="shared" si="49"/>
        <v>117.23</v>
      </c>
      <c r="AW82" s="60" t="str">
        <f t="shared" si="50"/>
        <v/>
      </c>
      <c r="AX82" s="59">
        <f t="shared" si="54"/>
        <v>1746.4299999999998</v>
      </c>
      <c r="AY82" s="59">
        <v>2000</v>
      </c>
      <c r="AZ82" s="59">
        <f t="shared" si="52"/>
        <v>-253.57000000000016</v>
      </c>
      <c r="BA82" s="60">
        <f t="shared" si="53"/>
        <v>0.87321499999999996</v>
      </c>
    </row>
    <row r="83" spans="1:53" x14ac:dyDescent="0.3">
      <c r="A83" s="57" t="s">
        <v>160</v>
      </c>
      <c r="B83" s="61">
        <f>((((B78)+(B79))+(B80))+(B81))+(B82)</f>
        <v>790.53000000000009</v>
      </c>
      <c r="C83" s="61">
        <f>((((C78)+(C79))+(C80))+(C81))+(C82)</f>
        <v>0</v>
      </c>
      <c r="D83" s="61">
        <f t="shared" si="27"/>
        <v>790.53000000000009</v>
      </c>
      <c r="E83" s="62" t="str">
        <f t="shared" si="28"/>
        <v/>
      </c>
      <c r="F83" s="61">
        <f>((((F78)+(F79))+(F80))+(F81))+(F82)</f>
        <v>942.35</v>
      </c>
      <c r="G83" s="61">
        <f>((((G78)+(G79))+(G80))+(G81))+(G82)</f>
        <v>0</v>
      </c>
      <c r="H83" s="61">
        <f t="shared" si="29"/>
        <v>942.35</v>
      </c>
      <c r="I83" s="62" t="str">
        <f t="shared" si="30"/>
        <v/>
      </c>
      <c r="J83" s="61">
        <f>((((J78)+(J79))+(J80))+(J81))+(J82)</f>
        <v>495.54999999999995</v>
      </c>
      <c r="K83" s="61">
        <f>((((K78)+(K79))+(K80))+(K81))+(K82)</f>
        <v>0</v>
      </c>
      <c r="L83" s="61">
        <f t="shared" si="31"/>
        <v>495.54999999999995</v>
      </c>
      <c r="M83" s="62" t="str">
        <f t="shared" si="32"/>
        <v/>
      </c>
      <c r="N83" s="61">
        <f>((((N78)+(N79))+(N80))+(N81))+(N82)</f>
        <v>1049.5700000000002</v>
      </c>
      <c r="O83" s="61">
        <f>((((O78)+(O79))+(O80))+(O81))+(O82)</f>
        <v>0</v>
      </c>
      <c r="P83" s="61">
        <f t="shared" si="33"/>
        <v>1049.5700000000002</v>
      </c>
      <c r="Q83" s="62" t="str">
        <f t="shared" si="34"/>
        <v/>
      </c>
      <c r="R83" s="61">
        <f>((((R78)+(R79))+(R80))+(R81))+(R82)</f>
        <v>1253.77</v>
      </c>
      <c r="S83" s="61">
        <f>((((S78)+(S79))+(S80))+(S81))+(S82)</f>
        <v>0</v>
      </c>
      <c r="T83" s="61">
        <f t="shared" si="35"/>
        <v>1253.77</v>
      </c>
      <c r="U83" s="62" t="str">
        <f t="shared" si="36"/>
        <v/>
      </c>
      <c r="V83" s="61">
        <f>((((V78)+(V79))+(V80))+(V81))+(V82)</f>
        <v>489.88</v>
      </c>
      <c r="W83" s="61">
        <f>((((W78)+(W79))+(W80))+(W81))+(W82)</f>
        <v>0</v>
      </c>
      <c r="X83" s="61">
        <f t="shared" si="37"/>
        <v>489.88</v>
      </c>
      <c r="Y83" s="62" t="str">
        <f t="shared" si="38"/>
        <v/>
      </c>
      <c r="Z83" s="61">
        <f>((((Z78)+(Z79))+(Z80))+(Z81))+(Z82)</f>
        <v>57.67</v>
      </c>
      <c r="AA83" s="61">
        <f>((((AA78)+(AA79))+(AA80))+(AA81))+(AA82)</f>
        <v>0</v>
      </c>
      <c r="AB83" s="61">
        <f t="shared" si="39"/>
        <v>57.67</v>
      </c>
      <c r="AC83" s="62" t="str">
        <f t="shared" si="40"/>
        <v/>
      </c>
      <c r="AD83" s="61">
        <f>((((AD78)+(AD79))+(AD80))+(AD81))+(AD82)</f>
        <v>1632.14</v>
      </c>
      <c r="AE83" s="61">
        <f>((((AE78)+(AE79))+(AE80))+(AE81))+(AE82)</f>
        <v>0</v>
      </c>
      <c r="AF83" s="61">
        <f t="shared" si="41"/>
        <v>1632.14</v>
      </c>
      <c r="AG83" s="62" t="str">
        <f t="shared" si="42"/>
        <v/>
      </c>
      <c r="AH83" s="61">
        <f>((((AH78)+(AH79))+(AH80))+(AH81))+(AH82)</f>
        <v>1511.62</v>
      </c>
      <c r="AI83" s="61">
        <f>((((AI78)+(AI79))+(AI80))+(AI81))+(AI82)</f>
        <v>0</v>
      </c>
      <c r="AJ83" s="61">
        <f t="shared" si="43"/>
        <v>1511.62</v>
      </c>
      <c r="AK83" s="62" t="str">
        <f t="shared" si="44"/>
        <v/>
      </c>
      <c r="AL83" s="61">
        <f>((((AL78)+(AL79))+(AL80))+(AL81))+(AL82)</f>
        <v>1253.02</v>
      </c>
      <c r="AM83" s="61">
        <f>((((AM78)+(AM79))+(AM80))+(AM81))+(AM82)</f>
        <v>0</v>
      </c>
      <c r="AN83" s="61">
        <f t="shared" si="45"/>
        <v>1253.02</v>
      </c>
      <c r="AO83" s="62" t="str">
        <f t="shared" si="46"/>
        <v/>
      </c>
      <c r="AP83" s="61">
        <f>((((AP78)+(AP79))+(AP80))+(AP81))+(AP82)</f>
        <v>568.55999999999995</v>
      </c>
      <c r="AQ83" s="61">
        <f>((((AQ78)+(AQ79))+(AQ80))+(AQ81))+(AQ82)</f>
        <v>0</v>
      </c>
      <c r="AR83" s="61">
        <f t="shared" si="47"/>
        <v>568.55999999999995</v>
      </c>
      <c r="AS83" s="62" t="str">
        <f t="shared" si="48"/>
        <v/>
      </c>
      <c r="AT83" s="61">
        <f>((((AT78)+(AT79))+(AT80))+(AT81))+(AT82)</f>
        <v>478.87</v>
      </c>
      <c r="AU83" s="61">
        <f>((((AU78)+(AU79))+(AU80))+(AU81))+(AU82)</f>
        <v>0</v>
      </c>
      <c r="AV83" s="61">
        <f t="shared" si="49"/>
        <v>478.87</v>
      </c>
      <c r="AW83" s="62" t="str">
        <f t="shared" si="50"/>
        <v/>
      </c>
      <c r="AX83" s="61">
        <f t="shared" si="54"/>
        <v>10523.530000000002</v>
      </c>
      <c r="AY83" s="61">
        <f t="shared" si="54"/>
        <v>0</v>
      </c>
      <c r="AZ83" s="61">
        <f t="shared" si="52"/>
        <v>10523.530000000002</v>
      </c>
      <c r="BA83" s="62" t="str">
        <f t="shared" si="53"/>
        <v/>
      </c>
    </row>
    <row r="84" spans="1:53" x14ac:dyDescent="0.3">
      <c r="A84" s="57" t="s">
        <v>161</v>
      </c>
      <c r="B84" s="59">
        <f>472.05</f>
        <v>472.05</v>
      </c>
      <c r="C84" s="58"/>
      <c r="D84" s="59">
        <f t="shared" ref="D84:D100" si="55">(B84)-(C84)</f>
        <v>472.05</v>
      </c>
      <c r="E84" s="60" t="str">
        <f t="shared" ref="E84:E100" si="56">IF(C84=0,"",(B84)/(C84))</f>
        <v/>
      </c>
      <c r="F84" s="59">
        <f>6733.79</f>
        <v>6733.79</v>
      </c>
      <c r="G84" s="58"/>
      <c r="H84" s="59">
        <f t="shared" ref="H84:H100" si="57">(F84)-(G84)</f>
        <v>6733.79</v>
      </c>
      <c r="I84" s="60" t="str">
        <f t="shared" ref="I84:I100" si="58">IF(G84=0,"",(F84)/(G84))</f>
        <v/>
      </c>
      <c r="J84" s="59">
        <f>1032.52</f>
        <v>1032.52</v>
      </c>
      <c r="K84" s="58"/>
      <c r="L84" s="59">
        <f t="shared" ref="L84:L100" si="59">(J84)-(K84)</f>
        <v>1032.52</v>
      </c>
      <c r="M84" s="60" t="str">
        <f t="shared" ref="M84:M100" si="60">IF(K84=0,"",(J84)/(K84))</f>
        <v/>
      </c>
      <c r="N84" s="59">
        <f>3635.2</f>
        <v>3635.2</v>
      </c>
      <c r="O84" s="58"/>
      <c r="P84" s="59">
        <f t="shared" ref="P84:P100" si="61">(N84)-(O84)</f>
        <v>3635.2</v>
      </c>
      <c r="Q84" s="60" t="str">
        <f t="shared" ref="Q84:Q100" si="62">IF(O84=0,"",(N84)/(O84))</f>
        <v/>
      </c>
      <c r="R84" s="59">
        <f>870.42</f>
        <v>870.42</v>
      </c>
      <c r="S84" s="58"/>
      <c r="T84" s="59">
        <f t="shared" ref="T84:T100" si="63">(R84)-(S84)</f>
        <v>870.42</v>
      </c>
      <c r="U84" s="60" t="str">
        <f t="shared" ref="U84:U100" si="64">IF(S84=0,"",(R84)/(S84))</f>
        <v/>
      </c>
      <c r="V84" s="59">
        <f>5395.76</f>
        <v>5395.76</v>
      </c>
      <c r="W84" s="58"/>
      <c r="X84" s="59">
        <f t="shared" ref="X84:X100" si="65">(V84)-(W84)</f>
        <v>5395.76</v>
      </c>
      <c r="Y84" s="60" t="str">
        <f t="shared" ref="Y84:Y100" si="66">IF(W84=0,"",(V84)/(W84))</f>
        <v/>
      </c>
      <c r="Z84" s="58"/>
      <c r="AA84" s="58"/>
      <c r="AB84" s="59">
        <f t="shared" ref="AB84:AB100" si="67">(Z84)-(AA84)</f>
        <v>0</v>
      </c>
      <c r="AC84" s="60" t="str">
        <f t="shared" ref="AC84:AC100" si="68">IF(AA84=0,"",(Z84)/(AA84))</f>
        <v/>
      </c>
      <c r="AD84" s="59">
        <f>100.78</f>
        <v>100.78</v>
      </c>
      <c r="AE84" s="58"/>
      <c r="AF84" s="59">
        <f t="shared" ref="AF84:AF100" si="69">(AD84)-(AE84)</f>
        <v>100.78</v>
      </c>
      <c r="AG84" s="60" t="str">
        <f t="shared" ref="AG84:AG100" si="70">IF(AE84=0,"",(AD84)/(AE84))</f>
        <v/>
      </c>
      <c r="AH84" s="58"/>
      <c r="AI84" s="58"/>
      <c r="AJ84" s="59">
        <f t="shared" ref="AJ84:AJ100" si="71">(AH84)-(AI84)</f>
        <v>0</v>
      </c>
      <c r="AK84" s="60" t="str">
        <f t="shared" ref="AK84:AK100" si="72">IF(AI84=0,"",(AH84)/(AI84))</f>
        <v/>
      </c>
      <c r="AL84" s="58"/>
      <c r="AM84" s="58"/>
      <c r="AN84" s="59">
        <f t="shared" ref="AN84:AN100" si="73">(AL84)-(AM84)</f>
        <v>0</v>
      </c>
      <c r="AO84" s="60" t="str">
        <f t="shared" ref="AO84:AO100" si="74">IF(AM84=0,"",(AL84)/(AM84))</f>
        <v/>
      </c>
      <c r="AP84" s="59">
        <f>122.12</f>
        <v>122.12</v>
      </c>
      <c r="AQ84" s="58"/>
      <c r="AR84" s="59">
        <f t="shared" ref="AR84:AR100" si="75">(AP84)-(AQ84)</f>
        <v>122.12</v>
      </c>
      <c r="AS84" s="60" t="str">
        <f t="shared" ref="AS84:AS100" si="76">IF(AQ84=0,"",(AP84)/(AQ84))</f>
        <v/>
      </c>
      <c r="AT84" s="58"/>
      <c r="AU84" s="58"/>
      <c r="AV84" s="59">
        <f t="shared" ref="AV84:AV100" si="77">(AT84)-(AU84)</f>
        <v>0</v>
      </c>
      <c r="AW84" s="60" t="str">
        <f t="shared" ref="AW84:AW100" si="78">IF(AU84=0,"",(AT84)/(AU84))</f>
        <v/>
      </c>
      <c r="AX84" s="59">
        <f t="shared" ref="AX84:AY100" si="79">(((((((((((B84)+(F84))+(J84))+(N84))+(R84))+(V84))+(Z84))+(AD84))+(AH84))+(AL84))+(AP84))+(AT84)</f>
        <v>18362.64</v>
      </c>
      <c r="AY84" s="59">
        <v>20000</v>
      </c>
      <c r="AZ84" s="59">
        <f t="shared" ref="AZ84:AZ100" si="80">(AX84)-(AY84)</f>
        <v>-1637.3600000000006</v>
      </c>
      <c r="BA84" s="60">
        <f t="shared" ref="BA84:BA100" si="81">IF(AY84=0,"",(AX84)/(AY84))</f>
        <v>0.91813199999999995</v>
      </c>
    </row>
    <row r="85" spans="1:53" x14ac:dyDescent="0.3">
      <c r="A85" s="57" t="s">
        <v>162</v>
      </c>
      <c r="B85" s="58"/>
      <c r="C85" s="58"/>
      <c r="D85" s="59">
        <f t="shared" si="55"/>
        <v>0</v>
      </c>
      <c r="E85" s="60" t="str">
        <f t="shared" si="56"/>
        <v/>
      </c>
      <c r="F85" s="58"/>
      <c r="G85" s="58"/>
      <c r="H85" s="59">
        <f t="shared" si="57"/>
        <v>0</v>
      </c>
      <c r="I85" s="60" t="str">
        <f t="shared" si="58"/>
        <v/>
      </c>
      <c r="J85" s="58"/>
      <c r="K85" s="58"/>
      <c r="L85" s="59">
        <f t="shared" si="59"/>
        <v>0</v>
      </c>
      <c r="M85" s="60" t="str">
        <f t="shared" si="60"/>
        <v/>
      </c>
      <c r="N85" s="58"/>
      <c r="O85" s="58"/>
      <c r="P85" s="59">
        <f t="shared" si="61"/>
        <v>0</v>
      </c>
      <c r="Q85" s="60" t="str">
        <f t="shared" si="62"/>
        <v/>
      </c>
      <c r="R85" s="58"/>
      <c r="S85" s="58"/>
      <c r="T85" s="59">
        <f t="shared" si="63"/>
        <v>0</v>
      </c>
      <c r="U85" s="60" t="str">
        <f t="shared" si="64"/>
        <v/>
      </c>
      <c r="V85" s="58"/>
      <c r="W85" s="58"/>
      <c r="X85" s="59">
        <f t="shared" si="65"/>
        <v>0</v>
      </c>
      <c r="Y85" s="60" t="str">
        <f t="shared" si="66"/>
        <v/>
      </c>
      <c r="Z85" s="58"/>
      <c r="AA85" s="58"/>
      <c r="AB85" s="59">
        <f t="shared" si="67"/>
        <v>0</v>
      </c>
      <c r="AC85" s="60" t="str">
        <f t="shared" si="68"/>
        <v/>
      </c>
      <c r="AD85" s="58"/>
      <c r="AE85" s="58"/>
      <c r="AF85" s="59">
        <f t="shared" si="69"/>
        <v>0</v>
      </c>
      <c r="AG85" s="60" t="str">
        <f t="shared" si="70"/>
        <v/>
      </c>
      <c r="AH85" s="58"/>
      <c r="AI85" s="58"/>
      <c r="AJ85" s="59">
        <f t="shared" si="71"/>
        <v>0</v>
      </c>
      <c r="AK85" s="60" t="str">
        <f t="shared" si="72"/>
        <v/>
      </c>
      <c r="AL85" s="58"/>
      <c r="AM85" s="58"/>
      <c r="AN85" s="59">
        <f t="shared" si="73"/>
        <v>0</v>
      </c>
      <c r="AO85" s="60" t="str">
        <f t="shared" si="74"/>
        <v/>
      </c>
      <c r="AP85" s="58"/>
      <c r="AQ85" s="58"/>
      <c r="AR85" s="59">
        <f t="shared" si="75"/>
        <v>0</v>
      </c>
      <c r="AS85" s="60" t="str">
        <f t="shared" si="76"/>
        <v/>
      </c>
      <c r="AT85" s="58"/>
      <c r="AU85" s="58"/>
      <c r="AV85" s="59">
        <f t="shared" si="77"/>
        <v>0</v>
      </c>
      <c r="AW85" s="60" t="str">
        <f t="shared" si="78"/>
        <v/>
      </c>
      <c r="AX85" s="59">
        <f t="shared" si="79"/>
        <v>0</v>
      </c>
      <c r="AY85" s="59">
        <f t="shared" si="79"/>
        <v>0</v>
      </c>
      <c r="AZ85" s="59">
        <f t="shared" si="80"/>
        <v>0</v>
      </c>
      <c r="BA85" s="60" t="str">
        <f t="shared" si="81"/>
        <v/>
      </c>
    </row>
    <row r="86" spans="1:53" x14ac:dyDescent="0.3">
      <c r="A86" s="57" t="s">
        <v>163</v>
      </c>
      <c r="B86" s="59">
        <f>2395</f>
        <v>2395</v>
      </c>
      <c r="C86" s="58"/>
      <c r="D86" s="59">
        <f t="shared" si="55"/>
        <v>2395</v>
      </c>
      <c r="E86" s="60" t="str">
        <f t="shared" si="56"/>
        <v/>
      </c>
      <c r="F86" s="59">
        <f>2395</f>
        <v>2395</v>
      </c>
      <c r="G86" s="58"/>
      <c r="H86" s="59">
        <f t="shared" si="57"/>
        <v>2395</v>
      </c>
      <c r="I86" s="60" t="str">
        <f t="shared" si="58"/>
        <v/>
      </c>
      <c r="J86" s="59">
        <f>2395</f>
        <v>2395</v>
      </c>
      <c r="K86" s="58"/>
      <c r="L86" s="59">
        <f t="shared" si="59"/>
        <v>2395</v>
      </c>
      <c r="M86" s="60" t="str">
        <f t="shared" si="60"/>
        <v/>
      </c>
      <c r="N86" s="59">
        <f>2395</f>
        <v>2395</v>
      </c>
      <c r="O86" s="58"/>
      <c r="P86" s="59">
        <f t="shared" si="61"/>
        <v>2395</v>
      </c>
      <c r="Q86" s="60" t="str">
        <f t="shared" si="62"/>
        <v/>
      </c>
      <c r="R86" s="59">
        <f>2395</f>
        <v>2395</v>
      </c>
      <c r="S86" s="58"/>
      <c r="T86" s="59">
        <f t="shared" si="63"/>
        <v>2395</v>
      </c>
      <c r="U86" s="60" t="str">
        <f t="shared" si="64"/>
        <v/>
      </c>
      <c r="V86" s="59">
        <f>2395</f>
        <v>2395</v>
      </c>
      <c r="W86" s="58"/>
      <c r="X86" s="59">
        <f t="shared" si="65"/>
        <v>2395</v>
      </c>
      <c r="Y86" s="60" t="str">
        <f t="shared" si="66"/>
        <v/>
      </c>
      <c r="Z86" s="59">
        <f>2395</f>
        <v>2395</v>
      </c>
      <c r="AA86" s="58"/>
      <c r="AB86" s="59">
        <f t="shared" si="67"/>
        <v>2395</v>
      </c>
      <c r="AC86" s="60" t="str">
        <f t="shared" si="68"/>
        <v/>
      </c>
      <c r="AD86" s="59">
        <f>2395</f>
        <v>2395</v>
      </c>
      <c r="AE86" s="58"/>
      <c r="AF86" s="59">
        <f t="shared" si="69"/>
        <v>2395</v>
      </c>
      <c r="AG86" s="60" t="str">
        <f t="shared" si="70"/>
        <v/>
      </c>
      <c r="AH86" s="59">
        <f>2395</f>
        <v>2395</v>
      </c>
      <c r="AI86" s="58"/>
      <c r="AJ86" s="59">
        <f t="shared" si="71"/>
        <v>2395</v>
      </c>
      <c r="AK86" s="60" t="str">
        <f t="shared" si="72"/>
        <v/>
      </c>
      <c r="AL86" s="58"/>
      <c r="AM86" s="58"/>
      <c r="AN86" s="59">
        <f t="shared" si="73"/>
        <v>0</v>
      </c>
      <c r="AO86" s="60" t="str">
        <f t="shared" si="74"/>
        <v/>
      </c>
      <c r="AP86" s="59">
        <f>4790</f>
        <v>4790</v>
      </c>
      <c r="AQ86" s="58"/>
      <c r="AR86" s="59">
        <f t="shared" si="75"/>
        <v>4790</v>
      </c>
      <c r="AS86" s="60" t="str">
        <f t="shared" si="76"/>
        <v/>
      </c>
      <c r="AT86" s="59">
        <f>2595</f>
        <v>2595</v>
      </c>
      <c r="AU86" s="58"/>
      <c r="AV86" s="59">
        <f t="shared" si="77"/>
        <v>2595</v>
      </c>
      <c r="AW86" s="60" t="str">
        <f t="shared" si="78"/>
        <v/>
      </c>
      <c r="AX86" s="59">
        <f t="shared" si="79"/>
        <v>28940</v>
      </c>
      <c r="AY86" s="59">
        <v>28740</v>
      </c>
      <c r="AZ86" s="59">
        <f t="shared" si="80"/>
        <v>200</v>
      </c>
      <c r="BA86" s="60">
        <f t="shared" si="81"/>
        <v>1.0069589422407794</v>
      </c>
    </row>
    <row r="87" spans="1:53" x14ac:dyDescent="0.3">
      <c r="A87" s="57" t="s">
        <v>164</v>
      </c>
      <c r="B87" s="58"/>
      <c r="C87" s="58"/>
      <c r="D87" s="59">
        <f t="shared" si="55"/>
        <v>0</v>
      </c>
      <c r="E87" s="60" t="str">
        <f t="shared" si="56"/>
        <v/>
      </c>
      <c r="F87" s="58"/>
      <c r="G87" s="58"/>
      <c r="H87" s="59">
        <f t="shared" si="57"/>
        <v>0</v>
      </c>
      <c r="I87" s="60" t="str">
        <f t="shared" si="58"/>
        <v/>
      </c>
      <c r="J87" s="59">
        <f>169.8</f>
        <v>169.8</v>
      </c>
      <c r="K87" s="58"/>
      <c r="L87" s="59">
        <f t="shared" si="59"/>
        <v>169.8</v>
      </c>
      <c r="M87" s="60" t="str">
        <f t="shared" si="60"/>
        <v/>
      </c>
      <c r="N87" s="59">
        <f>895</f>
        <v>895</v>
      </c>
      <c r="O87" s="58"/>
      <c r="P87" s="59">
        <f t="shared" si="61"/>
        <v>895</v>
      </c>
      <c r="Q87" s="60" t="str">
        <f t="shared" si="62"/>
        <v/>
      </c>
      <c r="R87" s="58"/>
      <c r="S87" s="58"/>
      <c r="T87" s="59">
        <f t="shared" si="63"/>
        <v>0</v>
      </c>
      <c r="U87" s="60" t="str">
        <f t="shared" si="64"/>
        <v/>
      </c>
      <c r="V87" s="59">
        <f>359</f>
        <v>359</v>
      </c>
      <c r="W87" s="58"/>
      <c r="X87" s="59">
        <f t="shared" si="65"/>
        <v>359</v>
      </c>
      <c r="Y87" s="60" t="str">
        <f t="shared" si="66"/>
        <v/>
      </c>
      <c r="Z87" s="59">
        <f>604.03</f>
        <v>604.03</v>
      </c>
      <c r="AA87" s="58"/>
      <c r="AB87" s="59">
        <f t="shared" si="67"/>
        <v>604.03</v>
      </c>
      <c r="AC87" s="60" t="str">
        <f t="shared" si="68"/>
        <v/>
      </c>
      <c r="AD87" s="58"/>
      <c r="AE87" s="58"/>
      <c r="AF87" s="59">
        <f t="shared" si="69"/>
        <v>0</v>
      </c>
      <c r="AG87" s="60" t="str">
        <f t="shared" si="70"/>
        <v/>
      </c>
      <c r="AH87" s="59">
        <f>202.45</f>
        <v>202.45</v>
      </c>
      <c r="AI87" s="58"/>
      <c r="AJ87" s="59">
        <f t="shared" si="71"/>
        <v>202.45</v>
      </c>
      <c r="AK87" s="60" t="str">
        <f t="shared" si="72"/>
        <v/>
      </c>
      <c r="AL87" s="58"/>
      <c r="AM87" s="58"/>
      <c r="AN87" s="59">
        <f t="shared" si="73"/>
        <v>0</v>
      </c>
      <c r="AO87" s="60" t="str">
        <f t="shared" si="74"/>
        <v/>
      </c>
      <c r="AP87" s="58"/>
      <c r="AQ87" s="58"/>
      <c r="AR87" s="59">
        <f t="shared" si="75"/>
        <v>0</v>
      </c>
      <c r="AS87" s="60" t="str">
        <f t="shared" si="76"/>
        <v/>
      </c>
      <c r="AT87" s="58"/>
      <c r="AU87" s="58"/>
      <c r="AV87" s="59">
        <f t="shared" si="77"/>
        <v>0</v>
      </c>
      <c r="AW87" s="60" t="str">
        <f t="shared" si="78"/>
        <v/>
      </c>
      <c r="AX87" s="59">
        <f t="shared" si="79"/>
        <v>2230.2799999999997</v>
      </c>
      <c r="AY87" s="59">
        <v>8000</v>
      </c>
      <c r="AZ87" s="59">
        <f t="shared" si="80"/>
        <v>-5769.72</v>
      </c>
      <c r="BA87" s="60">
        <f t="shared" si="81"/>
        <v>0.27878499999999995</v>
      </c>
    </row>
    <row r="88" spans="1:53" x14ac:dyDescent="0.3">
      <c r="A88" s="57" t="s">
        <v>165</v>
      </c>
      <c r="B88" s="58"/>
      <c r="C88" s="58"/>
      <c r="D88" s="59">
        <f t="shared" si="55"/>
        <v>0</v>
      </c>
      <c r="E88" s="60" t="str">
        <f t="shared" si="56"/>
        <v/>
      </c>
      <c r="F88" s="59">
        <f>3280</f>
        <v>3280</v>
      </c>
      <c r="G88" s="58"/>
      <c r="H88" s="59">
        <f t="shared" si="57"/>
        <v>3280</v>
      </c>
      <c r="I88" s="60" t="str">
        <f t="shared" si="58"/>
        <v/>
      </c>
      <c r="J88" s="58"/>
      <c r="K88" s="58"/>
      <c r="L88" s="59">
        <f t="shared" si="59"/>
        <v>0</v>
      </c>
      <c r="M88" s="60" t="str">
        <f t="shared" si="60"/>
        <v/>
      </c>
      <c r="N88" s="58"/>
      <c r="O88" s="58"/>
      <c r="P88" s="59">
        <f t="shared" si="61"/>
        <v>0</v>
      </c>
      <c r="Q88" s="60" t="str">
        <f t="shared" si="62"/>
        <v/>
      </c>
      <c r="R88" s="58"/>
      <c r="S88" s="58"/>
      <c r="T88" s="59">
        <f t="shared" si="63"/>
        <v>0</v>
      </c>
      <c r="U88" s="60" t="str">
        <f t="shared" si="64"/>
        <v/>
      </c>
      <c r="V88" s="58"/>
      <c r="W88" s="58"/>
      <c r="X88" s="59">
        <f t="shared" si="65"/>
        <v>0</v>
      </c>
      <c r="Y88" s="60" t="str">
        <f t="shared" si="66"/>
        <v/>
      </c>
      <c r="Z88" s="58"/>
      <c r="AA88" s="58"/>
      <c r="AB88" s="59">
        <f t="shared" si="67"/>
        <v>0</v>
      </c>
      <c r="AC88" s="60" t="str">
        <f t="shared" si="68"/>
        <v/>
      </c>
      <c r="AD88" s="58"/>
      <c r="AE88" s="58"/>
      <c r="AF88" s="59">
        <f t="shared" si="69"/>
        <v>0</v>
      </c>
      <c r="AG88" s="60" t="str">
        <f t="shared" si="70"/>
        <v/>
      </c>
      <c r="AH88" s="58"/>
      <c r="AI88" s="58"/>
      <c r="AJ88" s="59">
        <f t="shared" si="71"/>
        <v>0</v>
      </c>
      <c r="AK88" s="60" t="str">
        <f t="shared" si="72"/>
        <v/>
      </c>
      <c r="AL88" s="58"/>
      <c r="AM88" s="58"/>
      <c r="AN88" s="59">
        <f t="shared" si="73"/>
        <v>0</v>
      </c>
      <c r="AO88" s="60" t="str">
        <f t="shared" si="74"/>
        <v/>
      </c>
      <c r="AP88" s="58"/>
      <c r="AQ88" s="58"/>
      <c r="AR88" s="59">
        <f t="shared" si="75"/>
        <v>0</v>
      </c>
      <c r="AS88" s="60" t="str">
        <f t="shared" si="76"/>
        <v/>
      </c>
      <c r="AT88" s="58"/>
      <c r="AU88" s="58"/>
      <c r="AV88" s="59">
        <f t="shared" si="77"/>
        <v>0</v>
      </c>
      <c r="AW88" s="60" t="str">
        <f t="shared" si="78"/>
        <v/>
      </c>
      <c r="AX88" s="59">
        <f t="shared" si="79"/>
        <v>3280</v>
      </c>
      <c r="AY88" s="59">
        <v>3500</v>
      </c>
      <c r="AZ88" s="59">
        <f t="shared" si="80"/>
        <v>-220</v>
      </c>
      <c r="BA88" s="60">
        <f t="shared" si="81"/>
        <v>0.93714285714285717</v>
      </c>
    </row>
    <row r="89" spans="1:53" x14ac:dyDescent="0.3">
      <c r="A89" s="57" t="s">
        <v>166</v>
      </c>
      <c r="B89" s="58"/>
      <c r="C89" s="58"/>
      <c r="D89" s="59">
        <f t="shared" si="55"/>
        <v>0</v>
      </c>
      <c r="E89" s="60" t="str">
        <f t="shared" si="56"/>
        <v/>
      </c>
      <c r="F89" s="58"/>
      <c r="G89" s="58"/>
      <c r="H89" s="59">
        <f t="shared" si="57"/>
        <v>0</v>
      </c>
      <c r="I89" s="60" t="str">
        <f t="shared" si="58"/>
        <v/>
      </c>
      <c r="J89" s="58"/>
      <c r="K89" s="58"/>
      <c r="L89" s="59">
        <f t="shared" si="59"/>
        <v>0</v>
      </c>
      <c r="M89" s="60" t="str">
        <f t="shared" si="60"/>
        <v/>
      </c>
      <c r="N89" s="58"/>
      <c r="O89" s="58"/>
      <c r="P89" s="59">
        <f t="shared" si="61"/>
        <v>0</v>
      </c>
      <c r="Q89" s="60" t="str">
        <f t="shared" si="62"/>
        <v/>
      </c>
      <c r="R89" s="58"/>
      <c r="S89" s="58"/>
      <c r="T89" s="59">
        <f t="shared" si="63"/>
        <v>0</v>
      </c>
      <c r="U89" s="60" t="str">
        <f t="shared" si="64"/>
        <v/>
      </c>
      <c r="V89" s="59">
        <f>92.78</f>
        <v>92.78</v>
      </c>
      <c r="W89" s="58"/>
      <c r="X89" s="59">
        <f t="shared" si="65"/>
        <v>92.78</v>
      </c>
      <c r="Y89" s="60" t="str">
        <f t="shared" si="66"/>
        <v/>
      </c>
      <c r="Z89" s="58"/>
      <c r="AA89" s="58"/>
      <c r="AB89" s="59">
        <f t="shared" si="67"/>
        <v>0</v>
      </c>
      <c r="AC89" s="60" t="str">
        <f t="shared" si="68"/>
        <v/>
      </c>
      <c r="AD89" s="58"/>
      <c r="AE89" s="58"/>
      <c r="AF89" s="59">
        <f t="shared" si="69"/>
        <v>0</v>
      </c>
      <c r="AG89" s="60" t="str">
        <f t="shared" si="70"/>
        <v/>
      </c>
      <c r="AH89" s="58"/>
      <c r="AI89" s="58"/>
      <c r="AJ89" s="59">
        <f t="shared" si="71"/>
        <v>0</v>
      </c>
      <c r="AK89" s="60" t="str">
        <f t="shared" si="72"/>
        <v/>
      </c>
      <c r="AL89" s="58"/>
      <c r="AM89" s="58"/>
      <c r="AN89" s="59">
        <f t="shared" si="73"/>
        <v>0</v>
      </c>
      <c r="AO89" s="60" t="str">
        <f t="shared" si="74"/>
        <v/>
      </c>
      <c r="AP89" s="58"/>
      <c r="AQ89" s="58"/>
      <c r="AR89" s="59">
        <f t="shared" si="75"/>
        <v>0</v>
      </c>
      <c r="AS89" s="60" t="str">
        <f t="shared" si="76"/>
        <v/>
      </c>
      <c r="AT89" s="58"/>
      <c r="AU89" s="58"/>
      <c r="AV89" s="59">
        <f t="shared" si="77"/>
        <v>0</v>
      </c>
      <c r="AW89" s="60" t="str">
        <f t="shared" si="78"/>
        <v/>
      </c>
      <c r="AX89" s="59">
        <f t="shared" si="79"/>
        <v>92.78</v>
      </c>
      <c r="AY89" s="59">
        <v>1500</v>
      </c>
      <c r="AZ89" s="59">
        <f t="shared" si="80"/>
        <v>-1407.22</v>
      </c>
      <c r="BA89" s="60">
        <f t="shared" si="81"/>
        <v>6.1853333333333337E-2</v>
      </c>
    </row>
    <row r="90" spans="1:53" x14ac:dyDescent="0.3">
      <c r="A90" s="57" t="s">
        <v>167</v>
      </c>
      <c r="B90" s="59">
        <f>114.99</f>
        <v>114.99</v>
      </c>
      <c r="C90" s="58"/>
      <c r="D90" s="59">
        <f t="shared" si="55"/>
        <v>114.99</v>
      </c>
      <c r="E90" s="60" t="str">
        <f t="shared" si="56"/>
        <v/>
      </c>
      <c r="F90" s="59">
        <f>2005.59</f>
        <v>2005.59</v>
      </c>
      <c r="G90" s="58"/>
      <c r="H90" s="59">
        <f t="shared" si="57"/>
        <v>2005.59</v>
      </c>
      <c r="I90" s="60" t="str">
        <f t="shared" si="58"/>
        <v/>
      </c>
      <c r="J90" s="59">
        <f>287.81</f>
        <v>287.81</v>
      </c>
      <c r="K90" s="58"/>
      <c r="L90" s="59">
        <f t="shared" si="59"/>
        <v>287.81</v>
      </c>
      <c r="M90" s="60" t="str">
        <f t="shared" si="60"/>
        <v/>
      </c>
      <c r="N90" s="59">
        <f>158</f>
        <v>158</v>
      </c>
      <c r="O90" s="58"/>
      <c r="P90" s="59">
        <f t="shared" si="61"/>
        <v>158</v>
      </c>
      <c r="Q90" s="60" t="str">
        <f t="shared" si="62"/>
        <v/>
      </c>
      <c r="R90" s="59">
        <f>199.18</f>
        <v>199.18</v>
      </c>
      <c r="S90" s="58"/>
      <c r="T90" s="59">
        <f t="shared" si="63"/>
        <v>199.18</v>
      </c>
      <c r="U90" s="60" t="str">
        <f t="shared" si="64"/>
        <v/>
      </c>
      <c r="V90" s="59">
        <f>1522</f>
        <v>1522</v>
      </c>
      <c r="W90" s="58"/>
      <c r="X90" s="59">
        <f t="shared" si="65"/>
        <v>1522</v>
      </c>
      <c r="Y90" s="60" t="str">
        <f t="shared" si="66"/>
        <v/>
      </c>
      <c r="Z90" s="59">
        <f>199.18</f>
        <v>199.18</v>
      </c>
      <c r="AA90" s="58"/>
      <c r="AB90" s="59">
        <f t="shared" si="67"/>
        <v>199.18</v>
      </c>
      <c r="AC90" s="60" t="str">
        <f t="shared" si="68"/>
        <v/>
      </c>
      <c r="AD90" s="59">
        <f>143.64</f>
        <v>143.63999999999999</v>
      </c>
      <c r="AE90" s="58"/>
      <c r="AF90" s="59">
        <f t="shared" si="69"/>
        <v>143.63999999999999</v>
      </c>
      <c r="AG90" s="60" t="str">
        <f t="shared" si="70"/>
        <v/>
      </c>
      <c r="AH90" s="59">
        <f>2045.1</f>
        <v>2045.1</v>
      </c>
      <c r="AI90" s="58"/>
      <c r="AJ90" s="59">
        <f t="shared" si="71"/>
        <v>2045.1</v>
      </c>
      <c r="AK90" s="60" t="str">
        <f t="shared" si="72"/>
        <v/>
      </c>
      <c r="AL90" s="59">
        <f>194.59</f>
        <v>194.59</v>
      </c>
      <c r="AM90" s="58"/>
      <c r="AN90" s="59">
        <f t="shared" si="73"/>
        <v>194.59</v>
      </c>
      <c r="AO90" s="60" t="str">
        <f t="shared" si="74"/>
        <v/>
      </c>
      <c r="AP90" s="59">
        <f>542.59</f>
        <v>542.59</v>
      </c>
      <c r="AQ90" s="58"/>
      <c r="AR90" s="59">
        <f t="shared" si="75"/>
        <v>542.59</v>
      </c>
      <c r="AS90" s="60" t="str">
        <f t="shared" si="76"/>
        <v/>
      </c>
      <c r="AT90" s="59">
        <f>667.59</f>
        <v>667.59</v>
      </c>
      <c r="AU90" s="58"/>
      <c r="AV90" s="59">
        <f t="shared" si="77"/>
        <v>667.59</v>
      </c>
      <c r="AW90" s="60" t="str">
        <f t="shared" si="78"/>
        <v/>
      </c>
      <c r="AX90" s="59">
        <f t="shared" si="79"/>
        <v>8080.26</v>
      </c>
      <c r="AY90" s="59">
        <v>15000</v>
      </c>
      <c r="AZ90" s="59">
        <f t="shared" si="80"/>
        <v>-6919.74</v>
      </c>
      <c r="BA90" s="60">
        <f t="shared" si="81"/>
        <v>0.53868400000000005</v>
      </c>
    </row>
    <row r="91" spans="1:53" x14ac:dyDescent="0.3">
      <c r="A91" s="57" t="s">
        <v>168</v>
      </c>
      <c r="B91" s="61">
        <f>(((((B85)+(B86))+(B87))+(B88))+(B89))+(B90)</f>
        <v>2509.9899999999998</v>
      </c>
      <c r="C91" s="61">
        <f>(((((C85)+(C86))+(C87))+(C88))+(C89))+(C90)</f>
        <v>0</v>
      </c>
      <c r="D91" s="61">
        <f t="shared" si="55"/>
        <v>2509.9899999999998</v>
      </c>
      <c r="E91" s="62" t="str">
        <f t="shared" si="56"/>
        <v/>
      </c>
      <c r="F91" s="61">
        <f>(((((F85)+(F86))+(F87))+(F88))+(F89))+(F90)</f>
        <v>7680.59</v>
      </c>
      <c r="G91" s="61">
        <f>(((((G85)+(G86))+(G87))+(G88))+(G89))+(G90)</f>
        <v>0</v>
      </c>
      <c r="H91" s="61">
        <f t="shared" si="57"/>
        <v>7680.59</v>
      </c>
      <c r="I91" s="62" t="str">
        <f t="shared" si="58"/>
        <v/>
      </c>
      <c r="J91" s="61">
        <f>(((((J85)+(J86))+(J87))+(J88))+(J89))+(J90)</f>
        <v>2852.61</v>
      </c>
      <c r="K91" s="61">
        <f>(((((K85)+(K86))+(K87))+(K88))+(K89))+(K90)</f>
        <v>0</v>
      </c>
      <c r="L91" s="61">
        <f t="shared" si="59"/>
        <v>2852.61</v>
      </c>
      <c r="M91" s="62" t="str">
        <f t="shared" si="60"/>
        <v/>
      </c>
      <c r="N91" s="61">
        <f>(((((N85)+(N86))+(N87))+(N88))+(N89))+(N90)</f>
        <v>3448</v>
      </c>
      <c r="O91" s="61">
        <f>(((((O85)+(O86))+(O87))+(O88))+(O89))+(O90)</f>
        <v>0</v>
      </c>
      <c r="P91" s="61">
        <f t="shared" si="61"/>
        <v>3448</v>
      </c>
      <c r="Q91" s="62" t="str">
        <f t="shared" si="62"/>
        <v/>
      </c>
      <c r="R91" s="61">
        <f>(((((R85)+(R86))+(R87))+(R88))+(R89))+(R90)</f>
        <v>2594.1799999999998</v>
      </c>
      <c r="S91" s="61">
        <f>(((((S85)+(S86))+(S87))+(S88))+(S89))+(S90)</f>
        <v>0</v>
      </c>
      <c r="T91" s="61">
        <f t="shared" si="63"/>
        <v>2594.1799999999998</v>
      </c>
      <c r="U91" s="62" t="str">
        <f t="shared" si="64"/>
        <v/>
      </c>
      <c r="V91" s="61">
        <f>(((((V85)+(V86))+(V87))+(V88))+(V89))+(V90)</f>
        <v>4368.7800000000007</v>
      </c>
      <c r="W91" s="61">
        <f>(((((W85)+(W86))+(W87))+(W88))+(W89))+(W90)</f>
        <v>0</v>
      </c>
      <c r="X91" s="61">
        <f t="shared" si="65"/>
        <v>4368.7800000000007</v>
      </c>
      <c r="Y91" s="62" t="str">
        <f t="shared" si="66"/>
        <v/>
      </c>
      <c r="Z91" s="61">
        <f>(((((Z85)+(Z86))+(Z87))+(Z88))+(Z89))+(Z90)</f>
        <v>3198.2099999999996</v>
      </c>
      <c r="AA91" s="61">
        <f>(((((AA85)+(AA86))+(AA87))+(AA88))+(AA89))+(AA90)</f>
        <v>0</v>
      </c>
      <c r="AB91" s="61">
        <f t="shared" si="67"/>
        <v>3198.2099999999996</v>
      </c>
      <c r="AC91" s="62" t="str">
        <f t="shared" si="68"/>
        <v/>
      </c>
      <c r="AD91" s="61">
        <f>(((((AD85)+(AD86))+(AD87))+(AD88))+(AD89))+(AD90)</f>
        <v>2538.64</v>
      </c>
      <c r="AE91" s="61">
        <f>(((((AE85)+(AE86))+(AE87))+(AE88))+(AE89))+(AE90)</f>
        <v>0</v>
      </c>
      <c r="AF91" s="61">
        <f t="shared" si="69"/>
        <v>2538.64</v>
      </c>
      <c r="AG91" s="62" t="str">
        <f t="shared" si="70"/>
        <v/>
      </c>
      <c r="AH91" s="61">
        <f>(((((AH85)+(AH86))+(AH87))+(AH88))+(AH89))+(AH90)</f>
        <v>4642.5499999999993</v>
      </c>
      <c r="AI91" s="61">
        <f>(((((AI85)+(AI86))+(AI87))+(AI88))+(AI89))+(AI90)</f>
        <v>0</v>
      </c>
      <c r="AJ91" s="61">
        <f t="shared" si="71"/>
        <v>4642.5499999999993</v>
      </c>
      <c r="AK91" s="62" t="str">
        <f t="shared" si="72"/>
        <v/>
      </c>
      <c r="AL91" s="61">
        <f>(((((AL85)+(AL86))+(AL87))+(AL88))+(AL89))+(AL90)</f>
        <v>194.59</v>
      </c>
      <c r="AM91" s="61">
        <f>(((((AM85)+(AM86))+(AM87))+(AM88))+(AM89))+(AM90)</f>
        <v>0</v>
      </c>
      <c r="AN91" s="61">
        <f t="shared" si="73"/>
        <v>194.59</v>
      </c>
      <c r="AO91" s="62" t="str">
        <f t="shared" si="74"/>
        <v/>
      </c>
      <c r="AP91" s="61">
        <f>(((((AP85)+(AP86))+(AP87))+(AP88))+(AP89))+(AP90)</f>
        <v>5332.59</v>
      </c>
      <c r="AQ91" s="61">
        <f>(((((AQ85)+(AQ86))+(AQ87))+(AQ88))+(AQ89))+(AQ90)</f>
        <v>0</v>
      </c>
      <c r="AR91" s="61">
        <f t="shared" si="75"/>
        <v>5332.59</v>
      </c>
      <c r="AS91" s="62" t="str">
        <f t="shared" si="76"/>
        <v/>
      </c>
      <c r="AT91" s="61">
        <f>(((((AT85)+(AT86))+(AT87))+(AT88))+(AT89))+(AT90)</f>
        <v>3262.59</v>
      </c>
      <c r="AU91" s="61">
        <f>(((((AU85)+(AU86))+(AU87))+(AU88))+(AU89))+(AU90)</f>
        <v>0</v>
      </c>
      <c r="AV91" s="61">
        <f t="shared" si="77"/>
        <v>3262.59</v>
      </c>
      <c r="AW91" s="62" t="str">
        <f t="shared" si="78"/>
        <v/>
      </c>
      <c r="AX91" s="61">
        <f t="shared" si="79"/>
        <v>42623.319999999992</v>
      </c>
      <c r="AY91" s="61">
        <f t="shared" si="79"/>
        <v>0</v>
      </c>
      <c r="AZ91" s="61">
        <f t="shared" si="80"/>
        <v>42623.319999999992</v>
      </c>
      <c r="BA91" s="62" t="str">
        <f t="shared" si="81"/>
        <v/>
      </c>
    </row>
    <row r="92" spans="1:53" x14ac:dyDescent="0.3">
      <c r="A92" s="57" t="s">
        <v>169</v>
      </c>
      <c r="B92" s="58"/>
      <c r="C92" s="58"/>
      <c r="D92" s="59">
        <f t="shared" si="55"/>
        <v>0</v>
      </c>
      <c r="E92" s="60" t="str">
        <f t="shared" si="56"/>
        <v/>
      </c>
      <c r="F92" s="58"/>
      <c r="G92" s="58"/>
      <c r="H92" s="59">
        <f t="shared" si="57"/>
        <v>0</v>
      </c>
      <c r="I92" s="60" t="str">
        <f t="shared" si="58"/>
        <v/>
      </c>
      <c r="J92" s="58"/>
      <c r="K92" s="58"/>
      <c r="L92" s="59">
        <f t="shared" si="59"/>
        <v>0</v>
      </c>
      <c r="M92" s="60" t="str">
        <f t="shared" si="60"/>
        <v/>
      </c>
      <c r="N92" s="58"/>
      <c r="O92" s="58"/>
      <c r="P92" s="59">
        <f t="shared" si="61"/>
        <v>0</v>
      </c>
      <c r="Q92" s="60" t="str">
        <f t="shared" si="62"/>
        <v/>
      </c>
      <c r="R92" s="58"/>
      <c r="S92" s="58"/>
      <c r="T92" s="59">
        <f t="shared" si="63"/>
        <v>0</v>
      </c>
      <c r="U92" s="60" t="str">
        <f t="shared" si="64"/>
        <v/>
      </c>
      <c r="V92" s="58"/>
      <c r="W92" s="58"/>
      <c r="X92" s="59">
        <f t="shared" si="65"/>
        <v>0</v>
      </c>
      <c r="Y92" s="60" t="str">
        <f t="shared" si="66"/>
        <v/>
      </c>
      <c r="Z92" s="58"/>
      <c r="AA92" s="58"/>
      <c r="AB92" s="59">
        <f t="shared" si="67"/>
        <v>0</v>
      </c>
      <c r="AC92" s="60" t="str">
        <f t="shared" si="68"/>
        <v/>
      </c>
      <c r="AD92" s="58"/>
      <c r="AE92" s="58"/>
      <c r="AF92" s="59">
        <f t="shared" si="69"/>
        <v>0</v>
      </c>
      <c r="AG92" s="60" t="str">
        <f t="shared" si="70"/>
        <v/>
      </c>
      <c r="AH92" s="58"/>
      <c r="AI92" s="58"/>
      <c r="AJ92" s="59">
        <f t="shared" si="71"/>
        <v>0</v>
      </c>
      <c r="AK92" s="60" t="str">
        <f t="shared" si="72"/>
        <v/>
      </c>
      <c r="AL92" s="58"/>
      <c r="AM92" s="58"/>
      <c r="AN92" s="59">
        <f t="shared" si="73"/>
        <v>0</v>
      </c>
      <c r="AO92" s="60" t="str">
        <f t="shared" si="74"/>
        <v/>
      </c>
      <c r="AP92" s="58"/>
      <c r="AQ92" s="58"/>
      <c r="AR92" s="59">
        <f t="shared" si="75"/>
        <v>0</v>
      </c>
      <c r="AS92" s="60" t="str">
        <f t="shared" si="76"/>
        <v/>
      </c>
      <c r="AT92" s="58"/>
      <c r="AU92" s="58"/>
      <c r="AV92" s="59">
        <f t="shared" si="77"/>
        <v>0</v>
      </c>
      <c r="AW92" s="60" t="str">
        <f t="shared" si="78"/>
        <v/>
      </c>
      <c r="AX92" s="59">
        <f t="shared" si="79"/>
        <v>0</v>
      </c>
      <c r="AY92" s="59">
        <f t="shared" si="79"/>
        <v>0</v>
      </c>
      <c r="AZ92" s="59">
        <f t="shared" si="80"/>
        <v>0</v>
      </c>
      <c r="BA92" s="60" t="str">
        <f t="shared" si="81"/>
        <v/>
      </c>
    </row>
    <row r="93" spans="1:53" x14ac:dyDescent="0.3">
      <c r="A93" s="57" t="s">
        <v>170</v>
      </c>
      <c r="B93" s="59">
        <f>465.57</f>
        <v>465.57</v>
      </c>
      <c r="C93" s="58"/>
      <c r="D93" s="59">
        <f t="shared" si="55"/>
        <v>465.57</v>
      </c>
      <c r="E93" s="60" t="str">
        <f t="shared" si="56"/>
        <v/>
      </c>
      <c r="F93" s="59">
        <f>937.26</f>
        <v>937.26</v>
      </c>
      <c r="G93" s="58"/>
      <c r="H93" s="59">
        <f t="shared" si="57"/>
        <v>937.26</v>
      </c>
      <c r="I93" s="60" t="str">
        <f t="shared" si="58"/>
        <v/>
      </c>
      <c r="J93" s="59">
        <f>468.24</f>
        <v>468.24</v>
      </c>
      <c r="K93" s="58"/>
      <c r="L93" s="59">
        <f t="shared" si="59"/>
        <v>468.24</v>
      </c>
      <c r="M93" s="60" t="str">
        <f t="shared" si="60"/>
        <v/>
      </c>
      <c r="N93" s="58"/>
      <c r="O93" s="58"/>
      <c r="P93" s="59">
        <f t="shared" si="61"/>
        <v>0</v>
      </c>
      <c r="Q93" s="60" t="str">
        <f t="shared" si="62"/>
        <v/>
      </c>
      <c r="R93" s="59">
        <f>468.24</f>
        <v>468.24</v>
      </c>
      <c r="S93" s="58"/>
      <c r="T93" s="59">
        <f t="shared" si="63"/>
        <v>468.24</v>
      </c>
      <c r="U93" s="60" t="str">
        <f t="shared" si="64"/>
        <v/>
      </c>
      <c r="V93" s="59">
        <f>468.33</f>
        <v>468.33</v>
      </c>
      <c r="W93" s="58"/>
      <c r="X93" s="59">
        <f t="shared" si="65"/>
        <v>468.33</v>
      </c>
      <c r="Y93" s="60" t="str">
        <f t="shared" si="66"/>
        <v/>
      </c>
      <c r="Z93" s="58"/>
      <c r="AA93" s="58"/>
      <c r="AB93" s="59">
        <f t="shared" si="67"/>
        <v>0</v>
      </c>
      <c r="AC93" s="60" t="str">
        <f t="shared" si="68"/>
        <v/>
      </c>
      <c r="AD93" s="59">
        <f>942.21</f>
        <v>942.21</v>
      </c>
      <c r="AE93" s="58"/>
      <c r="AF93" s="59">
        <f t="shared" si="69"/>
        <v>942.21</v>
      </c>
      <c r="AG93" s="60" t="str">
        <f t="shared" si="70"/>
        <v/>
      </c>
      <c r="AH93" s="59">
        <f>1420.54</f>
        <v>1420.54</v>
      </c>
      <c r="AI93" s="58"/>
      <c r="AJ93" s="59">
        <f t="shared" si="71"/>
        <v>1420.54</v>
      </c>
      <c r="AK93" s="60" t="str">
        <f t="shared" si="72"/>
        <v/>
      </c>
      <c r="AL93" s="58"/>
      <c r="AM93" s="58"/>
      <c r="AN93" s="59">
        <f t="shared" si="73"/>
        <v>0</v>
      </c>
      <c r="AO93" s="60" t="str">
        <f t="shared" si="74"/>
        <v/>
      </c>
      <c r="AP93" s="59">
        <f>2.13</f>
        <v>2.13</v>
      </c>
      <c r="AQ93" s="58"/>
      <c r="AR93" s="59">
        <f t="shared" si="75"/>
        <v>2.13</v>
      </c>
      <c r="AS93" s="60" t="str">
        <f t="shared" si="76"/>
        <v/>
      </c>
      <c r="AT93" s="59">
        <f>472.71</f>
        <v>472.71</v>
      </c>
      <c r="AU93" s="58"/>
      <c r="AV93" s="59">
        <f t="shared" si="77"/>
        <v>472.71</v>
      </c>
      <c r="AW93" s="60" t="str">
        <f t="shared" si="78"/>
        <v/>
      </c>
      <c r="AX93" s="59">
        <f t="shared" si="79"/>
        <v>5645.23</v>
      </c>
      <c r="AY93" s="59">
        <v>7000</v>
      </c>
      <c r="AZ93" s="59">
        <f t="shared" si="80"/>
        <v>-1354.7700000000004</v>
      </c>
      <c r="BA93" s="60">
        <f t="shared" si="81"/>
        <v>0.80646142857142855</v>
      </c>
    </row>
    <row r="94" spans="1:53" x14ac:dyDescent="0.3">
      <c r="A94" s="57" t="s">
        <v>171</v>
      </c>
      <c r="B94" s="59">
        <f>1161.07</f>
        <v>1161.07</v>
      </c>
      <c r="C94" s="58"/>
      <c r="D94" s="59">
        <f t="shared" si="55"/>
        <v>1161.07</v>
      </c>
      <c r="E94" s="60" t="str">
        <f t="shared" si="56"/>
        <v/>
      </c>
      <c r="F94" s="59">
        <f>1118.11</f>
        <v>1118.1099999999999</v>
      </c>
      <c r="G94" s="58"/>
      <c r="H94" s="59">
        <f t="shared" si="57"/>
        <v>1118.1099999999999</v>
      </c>
      <c r="I94" s="60" t="str">
        <f t="shared" si="58"/>
        <v/>
      </c>
      <c r="J94" s="59">
        <f>673.64</f>
        <v>673.64</v>
      </c>
      <c r="K94" s="58"/>
      <c r="L94" s="59">
        <f t="shared" si="59"/>
        <v>673.64</v>
      </c>
      <c r="M94" s="60" t="str">
        <f t="shared" si="60"/>
        <v/>
      </c>
      <c r="N94" s="59">
        <f>608.09</f>
        <v>608.09</v>
      </c>
      <c r="O94" s="58"/>
      <c r="P94" s="59">
        <f t="shared" si="61"/>
        <v>608.09</v>
      </c>
      <c r="Q94" s="60" t="str">
        <f t="shared" si="62"/>
        <v/>
      </c>
      <c r="R94" s="59">
        <f>664.54</f>
        <v>664.54</v>
      </c>
      <c r="S94" s="58"/>
      <c r="T94" s="59">
        <f t="shared" si="63"/>
        <v>664.54</v>
      </c>
      <c r="U94" s="60" t="str">
        <f t="shared" si="64"/>
        <v/>
      </c>
      <c r="V94" s="59">
        <f>911.76</f>
        <v>911.76</v>
      </c>
      <c r="W94" s="58"/>
      <c r="X94" s="59">
        <f t="shared" si="65"/>
        <v>911.76</v>
      </c>
      <c r="Y94" s="60" t="str">
        <f t="shared" si="66"/>
        <v/>
      </c>
      <c r="Z94" s="58"/>
      <c r="AA94" s="58"/>
      <c r="AB94" s="59">
        <f t="shared" si="67"/>
        <v>0</v>
      </c>
      <c r="AC94" s="60" t="str">
        <f t="shared" si="68"/>
        <v/>
      </c>
      <c r="AD94" s="59">
        <f>1965.9</f>
        <v>1965.9</v>
      </c>
      <c r="AE94" s="58"/>
      <c r="AF94" s="59">
        <f t="shared" si="69"/>
        <v>1965.9</v>
      </c>
      <c r="AG94" s="60" t="str">
        <f t="shared" si="70"/>
        <v/>
      </c>
      <c r="AH94" s="59">
        <f>909.5</f>
        <v>909.5</v>
      </c>
      <c r="AI94" s="58"/>
      <c r="AJ94" s="59">
        <f t="shared" si="71"/>
        <v>909.5</v>
      </c>
      <c r="AK94" s="60" t="str">
        <f t="shared" si="72"/>
        <v/>
      </c>
      <c r="AL94" s="59">
        <f>620.55</f>
        <v>620.54999999999995</v>
      </c>
      <c r="AM94" s="58"/>
      <c r="AN94" s="59">
        <f t="shared" si="73"/>
        <v>620.54999999999995</v>
      </c>
      <c r="AO94" s="60" t="str">
        <f t="shared" si="74"/>
        <v/>
      </c>
      <c r="AP94" s="59">
        <f>672.46</f>
        <v>672.46</v>
      </c>
      <c r="AQ94" s="58"/>
      <c r="AR94" s="59">
        <f t="shared" si="75"/>
        <v>672.46</v>
      </c>
      <c r="AS94" s="60" t="str">
        <f t="shared" si="76"/>
        <v/>
      </c>
      <c r="AT94" s="59">
        <f>989.65</f>
        <v>989.65</v>
      </c>
      <c r="AU94" s="58"/>
      <c r="AV94" s="59">
        <f t="shared" si="77"/>
        <v>989.65</v>
      </c>
      <c r="AW94" s="60" t="str">
        <f t="shared" si="78"/>
        <v/>
      </c>
      <c r="AX94" s="59">
        <f t="shared" si="79"/>
        <v>10295.269999999999</v>
      </c>
      <c r="AY94" s="59">
        <v>12500</v>
      </c>
      <c r="AZ94" s="59">
        <f t="shared" si="80"/>
        <v>-2204.7300000000014</v>
      </c>
      <c r="BA94" s="60">
        <f t="shared" si="81"/>
        <v>0.82362159999999984</v>
      </c>
    </row>
    <row r="95" spans="1:53" x14ac:dyDescent="0.3">
      <c r="A95" s="57" t="s">
        <v>172</v>
      </c>
      <c r="B95" s="59">
        <f>40</f>
        <v>40</v>
      </c>
      <c r="C95" s="58"/>
      <c r="D95" s="59">
        <f t="shared" si="55"/>
        <v>40</v>
      </c>
      <c r="E95" s="60" t="str">
        <f t="shared" si="56"/>
        <v/>
      </c>
      <c r="F95" s="59">
        <f>80</f>
        <v>80</v>
      </c>
      <c r="G95" s="58"/>
      <c r="H95" s="59">
        <f t="shared" si="57"/>
        <v>80</v>
      </c>
      <c r="I95" s="60" t="str">
        <f t="shared" si="58"/>
        <v/>
      </c>
      <c r="J95" s="58"/>
      <c r="K95" s="58"/>
      <c r="L95" s="59">
        <f t="shared" si="59"/>
        <v>0</v>
      </c>
      <c r="M95" s="60" t="str">
        <f t="shared" si="60"/>
        <v/>
      </c>
      <c r="N95" s="59">
        <f>40</f>
        <v>40</v>
      </c>
      <c r="O95" s="58"/>
      <c r="P95" s="59">
        <f t="shared" si="61"/>
        <v>40</v>
      </c>
      <c r="Q95" s="60" t="str">
        <f t="shared" si="62"/>
        <v/>
      </c>
      <c r="R95" s="59">
        <f>40</f>
        <v>40</v>
      </c>
      <c r="S95" s="58"/>
      <c r="T95" s="59">
        <f t="shared" si="63"/>
        <v>40</v>
      </c>
      <c r="U95" s="60" t="str">
        <f t="shared" si="64"/>
        <v/>
      </c>
      <c r="V95" s="59">
        <f>40</f>
        <v>40</v>
      </c>
      <c r="W95" s="58"/>
      <c r="X95" s="59">
        <f t="shared" si="65"/>
        <v>40</v>
      </c>
      <c r="Y95" s="60" t="str">
        <f t="shared" si="66"/>
        <v/>
      </c>
      <c r="Z95" s="59">
        <f>40</f>
        <v>40</v>
      </c>
      <c r="AA95" s="58"/>
      <c r="AB95" s="59">
        <f t="shared" si="67"/>
        <v>40</v>
      </c>
      <c r="AC95" s="60" t="str">
        <f t="shared" si="68"/>
        <v/>
      </c>
      <c r="AD95" s="59">
        <f>40</f>
        <v>40</v>
      </c>
      <c r="AE95" s="58"/>
      <c r="AF95" s="59">
        <f t="shared" si="69"/>
        <v>40</v>
      </c>
      <c r="AG95" s="60" t="str">
        <f t="shared" si="70"/>
        <v/>
      </c>
      <c r="AH95" s="59">
        <f>40</f>
        <v>40</v>
      </c>
      <c r="AI95" s="58"/>
      <c r="AJ95" s="59">
        <f t="shared" si="71"/>
        <v>40</v>
      </c>
      <c r="AK95" s="60" t="str">
        <f t="shared" si="72"/>
        <v/>
      </c>
      <c r="AL95" s="59">
        <f>40</f>
        <v>40</v>
      </c>
      <c r="AM95" s="58"/>
      <c r="AN95" s="59">
        <f t="shared" si="73"/>
        <v>40</v>
      </c>
      <c r="AO95" s="60" t="str">
        <f t="shared" si="74"/>
        <v/>
      </c>
      <c r="AP95" s="59">
        <f>40</f>
        <v>40</v>
      </c>
      <c r="AQ95" s="58"/>
      <c r="AR95" s="59">
        <f t="shared" si="75"/>
        <v>40</v>
      </c>
      <c r="AS95" s="60" t="str">
        <f t="shared" si="76"/>
        <v/>
      </c>
      <c r="AT95" s="59">
        <f>40</f>
        <v>40</v>
      </c>
      <c r="AU95" s="58"/>
      <c r="AV95" s="59">
        <f t="shared" si="77"/>
        <v>40</v>
      </c>
      <c r="AW95" s="60" t="str">
        <f t="shared" si="78"/>
        <v/>
      </c>
      <c r="AX95" s="59">
        <f t="shared" si="79"/>
        <v>480</v>
      </c>
      <c r="AY95" s="59">
        <v>500</v>
      </c>
      <c r="AZ95" s="59">
        <f t="shared" si="80"/>
        <v>-20</v>
      </c>
      <c r="BA95" s="60">
        <f t="shared" si="81"/>
        <v>0.96</v>
      </c>
    </row>
    <row r="96" spans="1:53" x14ac:dyDescent="0.3">
      <c r="A96" s="57" t="s">
        <v>173</v>
      </c>
      <c r="B96" s="59">
        <f>116.62</f>
        <v>116.62</v>
      </c>
      <c r="C96" s="58"/>
      <c r="D96" s="59">
        <f t="shared" si="55"/>
        <v>116.62</v>
      </c>
      <c r="E96" s="60" t="str">
        <f t="shared" si="56"/>
        <v/>
      </c>
      <c r="F96" s="59">
        <f>122.13</f>
        <v>122.13</v>
      </c>
      <c r="G96" s="58"/>
      <c r="H96" s="59">
        <f t="shared" si="57"/>
        <v>122.13</v>
      </c>
      <c r="I96" s="60" t="str">
        <f t="shared" si="58"/>
        <v/>
      </c>
      <c r="J96" s="59">
        <f>118.53</f>
        <v>118.53</v>
      </c>
      <c r="K96" s="58"/>
      <c r="L96" s="59">
        <f t="shared" si="59"/>
        <v>118.53</v>
      </c>
      <c r="M96" s="60" t="str">
        <f t="shared" si="60"/>
        <v/>
      </c>
      <c r="N96" s="59">
        <f>105.01</f>
        <v>105.01</v>
      </c>
      <c r="O96" s="58"/>
      <c r="P96" s="59">
        <f t="shared" si="61"/>
        <v>105.01</v>
      </c>
      <c r="Q96" s="60" t="str">
        <f t="shared" si="62"/>
        <v/>
      </c>
      <c r="R96" s="59">
        <f>155.41</f>
        <v>155.41</v>
      </c>
      <c r="S96" s="58"/>
      <c r="T96" s="59">
        <f t="shared" si="63"/>
        <v>155.41</v>
      </c>
      <c r="U96" s="60" t="str">
        <f t="shared" si="64"/>
        <v/>
      </c>
      <c r="V96" s="59">
        <f>177.01</f>
        <v>177.01</v>
      </c>
      <c r="W96" s="58"/>
      <c r="X96" s="59">
        <f t="shared" si="65"/>
        <v>177.01</v>
      </c>
      <c r="Y96" s="60" t="str">
        <f t="shared" si="66"/>
        <v/>
      </c>
      <c r="Z96" s="59">
        <f>169.81</f>
        <v>169.81</v>
      </c>
      <c r="AA96" s="58"/>
      <c r="AB96" s="59">
        <f t="shared" si="67"/>
        <v>169.81</v>
      </c>
      <c r="AC96" s="60" t="str">
        <f t="shared" si="68"/>
        <v/>
      </c>
      <c r="AD96" s="59">
        <f>173.41</f>
        <v>173.41</v>
      </c>
      <c r="AE96" s="58"/>
      <c r="AF96" s="59">
        <f t="shared" si="69"/>
        <v>173.41</v>
      </c>
      <c r="AG96" s="60" t="str">
        <f t="shared" si="70"/>
        <v/>
      </c>
      <c r="AH96" s="59">
        <f>162.61</f>
        <v>162.61000000000001</v>
      </c>
      <c r="AI96" s="58"/>
      <c r="AJ96" s="59">
        <f t="shared" si="71"/>
        <v>162.61000000000001</v>
      </c>
      <c r="AK96" s="60" t="str">
        <f t="shared" si="72"/>
        <v/>
      </c>
      <c r="AL96" s="59">
        <f>173.41</f>
        <v>173.41</v>
      </c>
      <c r="AM96" s="58"/>
      <c r="AN96" s="59">
        <f t="shared" si="73"/>
        <v>173.41</v>
      </c>
      <c r="AO96" s="60" t="str">
        <f t="shared" si="74"/>
        <v/>
      </c>
      <c r="AP96" s="59">
        <f>144.61</f>
        <v>144.61000000000001</v>
      </c>
      <c r="AQ96" s="58"/>
      <c r="AR96" s="59">
        <f t="shared" si="75"/>
        <v>144.61000000000001</v>
      </c>
      <c r="AS96" s="60" t="str">
        <f t="shared" si="76"/>
        <v/>
      </c>
      <c r="AT96" s="58"/>
      <c r="AU96" s="58"/>
      <c r="AV96" s="59">
        <f t="shared" si="77"/>
        <v>0</v>
      </c>
      <c r="AW96" s="60" t="str">
        <f t="shared" si="78"/>
        <v/>
      </c>
      <c r="AX96" s="59">
        <f t="shared" si="79"/>
        <v>1618.56</v>
      </c>
      <c r="AY96" s="59">
        <v>2000</v>
      </c>
      <c r="AZ96" s="59">
        <f t="shared" si="80"/>
        <v>-381.44000000000005</v>
      </c>
      <c r="BA96" s="60">
        <f t="shared" si="81"/>
        <v>0.80928</v>
      </c>
    </row>
    <row r="97" spans="1:53" x14ac:dyDescent="0.3">
      <c r="A97" s="57" t="s">
        <v>174</v>
      </c>
      <c r="B97" s="61">
        <f>((((B92)+(B93))+(B94))+(B95))+(B96)</f>
        <v>1783.2599999999998</v>
      </c>
      <c r="C97" s="61">
        <f>((((C92)+(C93))+(C94))+(C95))+(C96)</f>
        <v>0</v>
      </c>
      <c r="D97" s="61">
        <f t="shared" si="55"/>
        <v>1783.2599999999998</v>
      </c>
      <c r="E97" s="62" t="str">
        <f t="shared" si="56"/>
        <v/>
      </c>
      <c r="F97" s="61">
        <f>((((F92)+(F93))+(F94))+(F95))+(F96)</f>
        <v>2257.5</v>
      </c>
      <c r="G97" s="61">
        <f>((((G92)+(G93))+(G94))+(G95))+(G96)</f>
        <v>0</v>
      </c>
      <c r="H97" s="61">
        <f t="shared" si="57"/>
        <v>2257.5</v>
      </c>
      <c r="I97" s="62" t="str">
        <f t="shared" si="58"/>
        <v/>
      </c>
      <c r="J97" s="61">
        <f>((((J92)+(J93))+(J94))+(J95))+(J96)</f>
        <v>1260.4100000000001</v>
      </c>
      <c r="K97" s="61">
        <f>((((K92)+(K93))+(K94))+(K95))+(K96)</f>
        <v>0</v>
      </c>
      <c r="L97" s="61">
        <f t="shared" si="59"/>
        <v>1260.4100000000001</v>
      </c>
      <c r="M97" s="62" t="str">
        <f t="shared" si="60"/>
        <v/>
      </c>
      <c r="N97" s="61">
        <f>((((N92)+(N93))+(N94))+(N95))+(N96)</f>
        <v>753.1</v>
      </c>
      <c r="O97" s="61">
        <f>((((O92)+(O93))+(O94))+(O95))+(O96)</f>
        <v>0</v>
      </c>
      <c r="P97" s="61">
        <f t="shared" si="61"/>
        <v>753.1</v>
      </c>
      <c r="Q97" s="62" t="str">
        <f t="shared" si="62"/>
        <v/>
      </c>
      <c r="R97" s="61">
        <f>((((R92)+(R93))+(R94))+(R95))+(R96)</f>
        <v>1328.19</v>
      </c>
      <c r="S97" s="61">
        <f>((((S92)+(S93))+(S94))+(S95))+(S96)</f>
        <v>0</v>
      </c>
      <c r="T97" s="61">
        <f t="shared" si="63"/>
        <v>1328.19</v>
      </c>
      <c r="U97" s="62" t="str">
        <f t="shared" si="64"/>
        <v/>
      </c>
      <c r="V97" s="61">
        <f>((((V92)+(V93))+(V94))+(V95))+(V96)</f>
        <v>1597.1</v>
      </c>
      <c r="W97" s="61">
        <f>((((W92)+(W93))+(W94))+(W95))+(W96)</f>
        <v>0</v>
      </c>
      <c r="X97" s="61">
        <f t="shared" si="65"/>
        <v>1597.1</v>
      </c>
      <c r="Y97" s="62" t="str">
        <f t="shared" si="66"/>
        <v/>
      </c>
      <c r="Z97" s="61">
        <f>((((Z92)+(Z93))+(Z94))+(Z95))+(Z96)</f>
        <v>209.81</v>
      </c>
      <c r="AA97" s="61">
        <f>((((AA92)+(AA93))+(AA94))+(AA95))+(AA96)</f>
        <v>0</v>
      </c>
      <c r="AB97" s="61">
        <f t="shared" si="67"/>
        <v>209.81</v>
      </c>
      <c r="AC97" s="62" t="str">
        <f t="shared" si="68"/>
        <v/>
      </c>
      <c r="AD97" s="61">
        <f>((((AD92)+(AD93))+(AD94))+(AD95))+(AD96)</f>
        <v>3121.52</v>
      </c>
      <c r="AE97" s="61">
        <f>((((AE92)+(AE93))+(AE94))+(AE95))+(AE96)</f>
        <v>0</v>
      </c>
      <c r="AF97" s="61">
        <f t="shared" si="69"/>
        <v>3121.52</v>
      </c>
      <c r="AG97" s="62" t="str">
        <f t="shared" si="70"/>
        <v/>
      </c>
      <c r="AH97" s="61">
        <f>((((AH92)+(AH93))+(AH94))+(AH95))+(AH96)</f>
        <v>2532.65</v>
      </c>
      <c r="AI97" s="61">
        <f>((((AI92)+(AI93))+(AI94))+(AI95))+(AI96)</f>
        <v>0</v>
      </c>
      <c r="AJ97" s="61">
        <f t="shared" si="71"/>
        <v>2532.65</v>
      </c>
      <c r="AK97" s="62" t="str">
        <f t="shared" si="72"/>
        <v/>
      </c>
      <c r="AL97" s="61">
        <f>((((AL92)+(AL93))+(AL94))+(AL95))+(AL96)</f>
        <v>833.95999999999992</v>
      </c>
      <c r="AM97" s="61">
        <f>((((AM92)+(AM93))+(AM94))+(AM95))+(AM96)</f>
        <v>0</v>
      </c>
      <c r="AN97" s="61">
        <f t="shared" si="73"/>
        <v>833.95999999999992</v>
      </c>
      <c r="AO97" s="62" t="str">
        <f t="shared" si="74"/>
        <v/>
      </c>
      <c r="AP97" s="61">
        <f>((((AP92)+(AP93))+(AP94))+(AP95))+(AP96)</f>
        <v>859.2</v>
      </c>
      <c r="AQ97" s="61">
        <f>((((AQ92)+(AQ93))+(AQ94))+(AQ95))+(AQ96)</f>
        <v>0</v>
      </c>
      <c r="AR97" s="61">
        <f t="shared" si="75"/>
        <v>859.2</v>
      </c>
      <c r="AS97" s="62" t="str">
        <f t="shared" si="76"/>
        <v/>
      </c>
      <c r="AT97" s="61">
        <f>((((AT92)+(AT93))+(AT94))+(AT95))+(AT96)</f>
        <v>1502.36</v>
      </c>
      <c r="AU97" s="61">
        <f>((((AU92)+(AU93))+(AU94))+(AU95))+(AU96)</f>
        <v>0</v>
      </c>
      <c r="AV97" s="61">
        <f t="shared" si="77"/>
        <v>1502.36</v>
      </c>
      <c r="AW97" s="62" t="str">
        <f t="shared" si="78"/>
        <v/>
      </c>
      <c r="AX97" s="61">
        <f t="shared" si="79"/>
        <v>18039.060000000001</v>
      </c>
      <c r="AY97" s="61">
        <f t="shared" si="79"/>
        <v>0</v>
      </c>
      <c r="AZ97" s="61">
        <f t="shared" si="80"/>
        <v>18039.060000000001</v>
      </c>
      <c r="BA97" s="62" t="str">
        <f t="shared" si="81"/>
        <v/>
      </c>
    </row>
    <row r="98" spans="1:53" x14ac:dyDescent="0.3">
      <c r="A98" s="57" t="s">
        <v>175</v>
      </c>
      <c r="B98" s="61">
        <f>(((((((((((((((((((((B25)+(B29))+(B30))+(B31))+(B32))+(B33))+(B51))+(B52))+(B53))+(B58))+(B59))+(B60))+(B69))+(B70))+(B71))+(B72))+(B76))+(B77))+(B83))+(B84))+(B91))+(B97)</f>
        <v>64053.01</v>
      </c>
      <c r="C98" s="61">
        <f>(((((((((((((((((((((C25)+(C29))+(C30))+(C31))+(C32))+(C33))+(C51))+(C52))+(C53))+(C58))+(C59))+(C60))+(C69))+(C70))+(C71))+(C72))+(C76))+(C77))+(C83))+(C84))+(C91))+(C97)</f>
        <v>0</v>
      </c>
      <c r="D98" s="61">
        <f t="shared" si="55"/>
        <v>64053.01</v>
      </c>
      <c r="E98" s="62" t="str">
        <f t="shared" si="56"/>
        <v/>
      </c>
      <c r="F98" s="61">
        <f>(((((((((((((((((((((F25)+(F29))+(F30))+(F31))+(F32))+(F33))+(F51))+(F52))+(F53))+(F58))+(F59))+(F60))+(F69))+(F70))+(F71))+(F72))+(F76))+(F77))+(F83))+(F84))+(F91))+(F97)</f>
        <v>64449.850000000006</v>
      </c>
      <c r="G98" s="61">
        <f>(((((((((((((((((((((G25)+(G29))+(G30))+(G31))+(G32))+(G33))+(G51))+(G52))+(G53))+(G58))+(G59))+(G60))+(G69))+(G70))+(G71))+(G72))+(G76))+(G77))+(G83))+(G84))+(G91))+(G97)</f>
        <v>0</v>
      </c>
      <c r="H98" s="61">
        <f t="shared" si="57"/>
        <v>64449.850000000006</v>
      </c>
      <c r="I98" s="62" t="str">
        <f t="shared" si="58"/>
        <v/>
      </c>
      <c r="J98" s="61">
        <f>(((((((((((((((((((((J25)+(J29))+(J30))+(J31))+(J32))+(J33))+(J51))+(J52))+(J53))+(J58))+(J59))+(J60))+(J69))+(J70))+(J71))+(J72))+(J76))+(J77))+(J83))+(J84))+(J91))+(J97)</f>
        <v>54219.010000000009</v>
      </c>
      <c r="K98" s="61">
        <f>(((((((((((((((((((((K25)+(K29))+(K30))+(K31))+(K32))+(K33))+(K51))+(K52))+(K53))+(K58))+(K59))+(K60))+(K69))+(K70))+(K71))+(K72))+(K76))+(K77))+(K83))+(K84))+(K91))+(K97)</f>
        <v>0</v>
      </c>
      <c r="L98" s="61">
        <f t="shared" si="59"/>
        <v>54219.010000000009</v>
      </c>
      <c r="M98" s="62" t="str">
        <f t="shared" si="60"/>
        <v/>
      </c>
      <c r="N98" s="61">
        <f>(((((((((((((((((((((N25)+(N29))+(N30))+(N31))+(N32))+(N33))+(N51))+(N52))+(N53))+(N58))+(N59))+(N60))+(N69))+(N70))+(N71))+(N72))+(N76))+(N77))+(N83))+(N84))+(N91))+(N97)</f>
        <v>59840.57999999998</v>
      </c>
      <c r="O98" s="61">
        <f>(((((((((((((((((((((O25)+(O29))+(O30))+(O31))+(O32))+(O33))+(O51))+(O52))+(O53))+(O58))+(O59))+(O60))+(O69))+(O70))+(O71))+(O72))+(O76))+(O77))+(O83))+(O84))+(O91))+(O97)</f>
        <v>0</v>
      </c>
      <c r="P98" s="61">
        <f t="shared" si="61"/>
        <v>59840.57999999998</v>
      </c>
      <c r="Q98" s="62" t="str">
        <f t="shared" si="62"/>
        <v/>
      </c>
      <c r="R98" s="61">
        <f>(((((((((((((((((((((R25)+(R29))+(R30))+(R31))+(R32))+(R33))+(R51))+(R52))+(R53))+(R58))+(R59))+(R60))+(R69))+(R70))+(R71))+(R72))+(R76))+(R77))+(R83))+(R84))+(R91))+(R97)</f>
        <v>60436.84</v>
      </c>
      <c r="S98" s="61">
        <f>(((((((((((((((((((((S25)+(S29))+(S30))+(S31))+(S32))+(S33))+(S51))+(S52))+(S53))+(S58))+(S59))+(S60))+(S69))+(S70))+(S71))+(S72))+(S76))+(S77))+(S83))+(S84))+(S91))+(S97)</f>
        <v>0</v>
      </c>
      <c r="T98" s="61">
        <f t="shared" si="63"/>
        <v>60436.84</v>
      </c>
      <c r="U98" s="62" t="str">
        <f t="shared" si="64"/>
        <v/>
      </c>
      <c r="V98" s="61">
        <f>(((((((((((((((((((((V25)+(V29))+(V30))+(V31))+(V32))+(V33))+(V51))+(V52))+(V53))+(V58))+(V59))+(V60))+(V69))+(V70))+(V71))+(V72))+(V76))+(V77))+(V83))+(V84))+(V91))+(V97)</f>
        <v>65173.700000000004</v>
      </c>
      <c r="W98" s="61">
        <f>(((((((((((((((((((((W25)+(W29))+(W30))+(W31))+(W32))+(W33))+(W51))+(W52))+(W53))+(W58))+(W59))+(W60))+(W69))+(W70))+(W71))+(W72))+(W76))+(W77))+(W83))+(W84))+(W91))+(W97)</f>
        <v>0</v>
      </c>
      <c r="X98" s="61">
        <f t="shared" si="65"/>
        <v>65173.700000000004</v>
      </c>
      <c r="Y98" s="62" t="str">
        <f t="shared" si="66"/>
        <v/>
      </c>
      <c r="Z98" s="61">
        <f>(((((((((((((((((((((Z25)+(Z29))+(Z30))+(Z31))+(Z32))+(Z33))+(Z51))+(Z52))+(Z53))+(Z58))+(Z59))+(Z60))+(Z69))+(Z70))+(Z71))+(Z72))+(Z76))+(Z77))+(Z83))+(Z84))+(Z91))+(Z97)</f>
        <v>63695.679999999993</v>
      </c>
      <c r="AA98" s="61">
        <f>(((((((((((((((((((((AA25)+(AA29))+(AA30))+(AA31))+(AA32))+(AA33))+(AA51))+(AA52))+(AA53))+(AA58))+(AA59))+(AA60))+(AA69))+(AA70))+(AA71))+(AA72))+(AA76))+(AA77))+(AA83))+(AA84))+(AA91))+(AA97)</f>
        <v>0</v>
      </c>
      <c r="AB98" s="61">
        <f t="shared" si="67"/>
        <v>63695.679999999993</v>
      </c>
      <c r="AC98" s="62" t="str">
        <f t="shared" si="68"/>
        <v/>
      </c>
      <c r="AD98" s="61">
        <f>(((((((((((((((((((((AD25)+(AD29))+(AD30))+(AD31))+(AD32))+(AD33))+(AD51))+(AD52))+(AD53))+(AD58))+(AD59))+(AD60))+(AD69))+(AD70))+(AD71))+(AD72))+(AD76))+(AD77))+(AD83))+(AD84))+(AD91))+(AD97)</f>
        <v>57487.749999999993</v>
      </c>
      <c r="AE98" s="61">
        <f>(((((((((((((((((((((AE25)+(AE29))+(AE30))+(AE31))+(AE32))+(AE33))+(AE51))+(AE52))+(AE53))+(AE58))+(AE59))+(AE60))+(AE69))+(AE70))+(AE71))+(AE72))+(AE76))+(AE77))+(AE83))+(AE84))+(AE91))+(AE97)</f>
        <v>0</v>
      </c>
      <c r="AF98" s="61">
        <f t="shared" si="69"/>
        <v>57487.749999999993</v>
      </c>
      <c r="AG98" s="62" t="str">
        <f t="shared" si="70"/>
        <v/>
      </c>
      <c r="AH98" s="61">
        <f>(((((((((((((((((((((AH25)+(AH29))+(AH30))+(AH31))+(AH32))+(AH33))+(AH51))+(AH52))+(AH53))+(AH58))+(AH59))+(AH60))+(AH69))+(AH70))+(AH71))+(AH72))+(AH76))+(AH77))+(AH83))+(AH84))+(AH91))+(AH97)</f>
        <v>74797.209999999977</v>
      </c>
      <c r="AI98" s="61">
        <f>(((((((((((((((((((((AI25)+(AI29))+(AI30))+(AI31))+(AI32))+(AI33))+(AI51))+(AI52))+(AI53))+(AI58))+(AI59))+(AI60))+(AI69))+(AI70))+(AI71))+(AI72))+(AI76))+(AI77))+(AI83))+(AI84))+(AI91))+(AI97)</f>
        <v>0</v>
      </c>
      <c r="AJ98" s="61">
        <f t="shared" si="71"/>
        <v>74797.209999999977</v>
      </c>
      <c r="AK98" s="62" t="str">
        <f t="shared" si="72"/>
        <v/>
      </c>
      <c r="AL98" s="61">
        <f>(((((((((((((((((((((AL25)+(AL29))+(AL30))+(AL31))+(AL32))+(AL33))+(AL51))+(AL52))+(AL53))+(AL58))+(AL59))+(AL60))+(AL69))+(AL70))+(AL71))+(AL72))+(AL76))+(AL77))+(AL83))+(AL84))+(AL91))+(AL97)</f>
        <v>51006.079999999994</v>
      </c>
      <c r="AM98" s="61">
        <f>(((((((((((((((((((((AM25)+(AM29))+(AM30))+(AM31))+(AM32))+(AM33))+(AM51))+(AM52))+(AM53))+(AM58))+(AM59))+(AM60))+(AM69))+(AM70))+(AM71))+(AM72))+(AM76))+(AM77))+(AM83))+(AM84))+(AM91))+(AM97)</f>
        <v>0</v>
      </c>
      <c r="AN98" s="61">
        <f t="shared" si="73"/>
        <v>51006.079999999994</v>
      </c>
      <c r="AO98" s="62" t="str">
        <f t="shared" si="74"/>
        <v/>
      </c>
      <c r="AP98" s="61">
        <f>(((((((((((((((((((((AP25)+(AP29))+(AP30))+(AP31))+(AP32))+(AP33))+(AP51))+(AP52))+(AP53))+(AP58))+(AP59))+(AP60))+(AP69))+(AP70))+(AP71))+(AP72))+(AP76))+(AP77))+(AP83))+(AP84))+(AP91))+(AP97)</f>
        <v>61296</v>
      </c>
      <c r="AQ98" s="61">
        <f>(((((((((((((((((((((AQ25)+(AQ29))+(AQ30))+(AQ31))+(AQ32))+(AQ33))+(AQ51))+(AQ52))+(AQ53))+(AQ58))+(AQ59))+(AQ60))+(AQ69))+(AQ70))+(AQ71))+(AQ72))+(AQ76))+(AQ77))+(AQ83))+(AQ84))+(AQ91))+(AQ97)</f>
        <v>0</v>
      </c>
      <c r="AR98" s="61">
        <f t="shared" si="75"/>
        <v>61296</v>
      </c>
      <c r="AS98" s="62" t="str">
        <f t="shared" si="76"/>
        <v/>
      </c>
      <c r="AT98" s="61">
        <f>(((((((((((((((((((((AT25)+(AT29))+(AT30))+(AT31))+(AT32))+(AT33))+(AT51))+(AT52))+(AT53))+(AT58))+(AT59))+(AT60))+(AT69))+(AT70))+(AT71))+(AT72))+(AT76))+(AT77))+(AT83))+(AT84))+(AT91))+(AT97)</f>
        <v>73289.010000000009</v>
      </c>
      <c r="AU98" s="61">
        <f>(((((((((((((((((((((AU25)+(AU29))+(AU30))+(AU31))+(AU32))+(AU33))+(AU51))+(AU52))+(AU53))+(AU58))+(AU59))+(AU60))+(AU69))+(AU70))+(AU71))+(AU72))+(AU76))+(AU77))+(AU83))+(AU84))+(AU91))+(AU97)</f>
        <v>0</v>
      </c>
      <c r="AV98" s="61">
        <f t="shared" si="77"/>
        <v>73289.010000000009</v>
      </c>
      <c r="AW98" s="62" t="str">
        <f t="shared" si="78"/>
        <v/>
      </c>
      <c r="AX98" s="61">
        <f t="shared" si="79"/>
        <v>749744.72</v>
      </c>
      <c r="AY98" s="61">
        <f t="shared" si="79"/>
        <v>0</v>
      </c>
      <c r="AZ98" s="61">
        <f t="shared" si="80"/>
        <v>749744.72</v>
      </c>
      <c r="BA98" s="62" t="str">
        <f t="shared" si="81"/>
        <v/>
      </c>
    </row>
    <row r="99" spans="1:53" x14ac:dyDescent="0.3">
      <c r="A99" s="57" t="s">
        <v>176</v>
      </c>
      <c r="B99" s="61">
        <f>(B18)-(B98)</f>
        <v>-30519.890000000007</v>
      </c>
      <c r="C99" s="61">
        <f>(C18)-(C98)</f>
        <v>0</v>
      </c>
      <c r="D99" s="61">
        <f t="shared" si="55"/>
        <v>-30519.890000000007</v>
      </c>
      <c r="E99" s="62" t="str">
        <f t="shared" si="56"/>
        <v/>
      </c>
      <c r="F99" s="61">
        <f>(F18)-(F98)</f>
        <v>278088.61</v>
      </c>
      <c r="G99" s="61">
        <f>(G18)-(G98)</f>
        <v>0</v>
      </c>
      <c r="H99" s="61">
        <f t="shared" si="57"/>
        <v>278088.61</v>
      </c>
      <c r="I99" s="62" t="str">
        <f t="shared" si="58"/>
        <v/>
      </c>
      <c r="J99" s="61">
        <f>(J18)-(J98)</f>
        <v>12495.029999999999</v>
      </c>
      <c r="K99" s="61">
        <f>(K18)-(K98)</f>
        <v>0</v>
      </c>
      <c r="L99" s="61">
        <f t="shared" si="59"/>
        <v>12495.029999999999</v>
      </c>
      <c r="M99" s="62" t="str">
        <f t="shared" si="60"/>
        <v/>
      </c>
      <c r="N99" s="61">
        <f>(N18)-(N98)</f>
        <v>132335.76</v>
      </c>
      <c r="O99" s="61">
        <f>(O18)-(O98)</f>
        <v>0</v>
      </c>
      <c r="P99" s="61">
        <f t="shared" si="61"/>
        <v>132335.76</v>
      </c>
      <c r="Q99" s="62" t="str">
        <f t="shared" si="62"/>
        <v/>
      </c>
      <c r="R99" s="61">
        <f>(R18)-(R98)</f>
        <v>-8321.14</v>
      </c>
      <c r="S99" s="61">
        <f>(S18)-(S98)</f>
        <v>0</v>
      </c>
      <c r="T99" s="61">
        <f t="shared" si="63"/>
        <v>-8321.14</v>
      </c>
      <c r="U99" s="62" t="str">
        <f t="shared" si="64"/>
        <v/>
      </c>
      <c r="V99" s="61">
        <f>(V18)-(V98)</f>
        <v>212320.32000000007</v>
      </c>
      <c r="W99" s="61">
        <f>(W18)-(W98)</f>
        <v>0</v>
      </c>
      <c r="X99" s="61">
        <f t="shared" si="65"/>
        <v>212320.32000000007</v>
      </c>
      <c r="Y99" s="62" t="str">
        <f t="shared" si="66"/>
        <v/>
      </c>
      <c r="Z99" s="61">
        <f>(Z18)-(Z98)</f>
        <v>-44066.889999999992</v>
      </c>
      <c r="AA99" s="61">
        <f>(AA18)-(AA98)</f>
        <v>0</v>
      </c>
      <c r="AB99" s="61">
        <f t="shared" si="67"/>
        <v>-44066.889999999992</v>
      </c>
      <c r="AC99" s="62" t="str">
        <f t="shared" si="68"/>
        <v/>
      </c>
      <c r="AD99" s="61">
        <f>(AD18)-(AD98)</f>
        <v>-41951.899999999994</v>
      </c>
      <c r="AE99" s="61">
        <f>(AE18)-(AE98)</f>
        <v>0</v>
      </c>
      <c r="AF99" s="61">
        <f t="shared" si="69"/>
        <v>-41951.899999999994</v>
      </c>
      <c r="AG99" s="62" t="str">
        <f t="shared" si="70"/>
        <v/>
      </c>
      <c r="AH99" s="61">
        <f>(AH18)-(AH98)</f>
        <v>-60798.909999999974</v>
      </c>
      <c r="AI99" s="61">
        <f>(AI18)-(AI98)</f>
        <v>0</v>
      </c>
      <c r="AJ99" s="61">
        <f t="shared" si="71"/>
        <v>-60798.909999999974</v>
      </c>
      <c r="AK99" s="62" t="str">
        <f t="shared" si="72"/>
        <v/>
      </c>
      <c r="AL99" s="61">
        <f>(AL18)-(AL98)</f>
        <v>-38056.929999999993</v>
      </c>
      <c r="AM99" s="61">
        <f>(AM18)-(AM98)</f>
        <v>0</v>
      </c>
      <c r="AN99" s="61">
        <f t="shared" si="73"/>
        <v>-38056.929999999993</v>
      </c>
      <c r="AO99" s="62" t="str">
        <f t="shared" si="74"/>
        <v/>
      </c>
      <c r="AP99" s="61">
        <f>(AP18)-(AP98)</f>
        <v>-45718.04</v>
      </c>
      <c r="AQ99" s="61">
        <f>(AQ18)-(AQ98)</f>
        <v>0</v>
      </c>
      <c r="AR99" s="61">
        <f t="shared" si="75"/>
        <v>-45718.04</v>
      </c>
      <c r="AS99" s="62" t="str">
        <f t="shared" si="76"/>
        <v/>
      </c>
      <c r="AT99" s="61">
        <f>(AT18)-(AT98)</f>
        <v>-63782.070000000007</v>
      </c>
      <c r="AU99" s="61">
        <f>(AU18)-(AU98)</f>
        <v>0</v>
      </c>
      <c r="AV99" s="61">
        <f t="shared" si="77"/>
        <v>-63782.070000000007</v>
      </c>
      <c r="AW99" s="62" t="str">
        <f t="shared" si="78"/>
        <v/>
      </c>
      <c r="AX99" s="61">
        <f t="shared" si="79"/>
        <v>302023.95000000007</v>
      </c>
      <c r="AY99" s="61">
        <f t="shared" si="79"/>
        <v>0</v>
      </c>
      <c r="AZ99" s="61">
        <f t="shared" si="80"/>
        <v>302023.95000000007</v>
      </c>
      <c r="BA99" s="62" t="str">
        <f t="shared" si="81"/>
        <v/>
      </c>
    </row>
    <row r="100" spans="1:53" x14ac:dyDescent="0.3">
      <c r="A100" s="57" t="s">
        <v>64</v>
      </c>
      <c r="B100" s="61">
        <f>(B99)+(0)</f>
        <v>-30519.890000000007</v>
      </c>
      <c r="C100" s="61">
        <f>(C99)+(0)</f>
        <v>0</v>
      </c>
      <c r="D100" s="61">
        <f t="shared" si="55"/>
        <v>-30519.890000000007</v>
      </c>
      <c r="E100" s="62" t="str">
        <f t="shared" si="56"/>
        <v/>
      </c>
      <c r="F100" s="61">
        <f>(F99)+(0)</f>
        <v>278088.61</v>
      </c>
      <c r="G100" s="61">
        <f>(G99)+(0)</f>
        <v>0</v>
      </c>
      <c r="H100" s="61">
        <f t="shared" si="57"/>
        <v>278088.61</v>
      </c>
      <c r="I100" s="62" t="str">
        <f t="shared" si="58"/>
        <v/>
      </c>
      <c r="J100" s="61">
        <f>(J99)+(0)</f>
        <v>12495.029999999999</v>
      </c>
      <c r="K100" s="61">
        <f>(K99)+(0)</f>
        <v>0</v>
      </c>
      <c r="L100" s="61">
        <f t="shared" si="59"/>
        <v>12495.029999999999</v>
      </c>
      <c r="M100" s="62" t="str">
        <f t="shared" si="60"/>
        <v/>
      </c>
      <c r="N100" s="61">
        <f>(N99)+(0)</f>
        <v>132335.76</v>
      </c>
      <c r="O100" s="61">
        <f>(O99)+(0)</f>
        <v>0</v>
      </c>
      <c r="P100" s="61">
        <f t="shared" si="61"/>
        <v>132335.76</v>
      </c>
      <c r="Q100" s="62" t="str">
        <f t="shared" si="62"/>
        <v/>
      </c>
      <c r="R100" s="61">
        <f>(R99)+(0)</f>
        <v>-8321.14</v>
      </c>
      <c r="S100" s="61">
        <f>(S99)+(0)</f>
        <v>0</v>
      </c>
      <c r="T100" s="61">
        <f t="shared" si="63"/>
        <v>-8321.14</v>
      </c>
      <c r="U100" s="62" t="str">
        <f t="shared" si="64"/>
        <v/>
      </c>
      <c r="V100" s="61">
        <f>(V99)+(0)</f>
        <v>212320.32000000007</v>
      </c>
      <c r="W100" s="61">
        <f>(W99)+(0)</f>
        <v>0</v>
      </c>
      <c r="X100" s="61">
        <f t="shared" si="65"/>
        <v>212320.32000000007</v>
      </c>
      <c r="Y100" s="62" t="str">
        <f t="shared" si="66"/>
        <v/>
      </c>
      <c r="Z100" s="61">
        <f>(Z99)+(0)</f>
        <v>-44066.889999999992</v>
      </c>
      <c r="AA100" s="61">
        <f>(AA99)+(0)</f>
        <v>0</v>
      </c>
      <c r="AB100" s="61">
        <f t="shared" si="67"/>
        <v>-44066.889999999992</v>
      </c>
      <c r="AC100" s="62" t="str">
        <f t="shared" si="68"/>
        <v/>
      </c>
      <c r="AD100" s="61">
        <f>(AD99)+(0)</f>
        <v>-41951.899999999994</v>
      </c>
      <c r="AE100" s="61">
        <f>(AE99)+(0)</f>
        <v>0</v>
      </c>
      <c r="AF100" s="61">
        <f t="shared" si="69"/>
        <v>-41951.899999999994</v>
      </c>
      <c r="AG100" s="62" t="str">
        <f t="shared" si="70"/>
        <v/>
      </c>
      <c r="AH100" s="61">
        <f>(AH99)+(0)</f>
        <v>-60798.909999999974</v>
      </c>
      <c r="AI100" s="61">
        <f>(AI99)+(0)</f>
        <v>0</v>
      </c>
      <c r="AJ100" s="61">
        <f t="shared" si="71"/>
        <v>-60798.909999999974</v>
      </c>
      <c r="AK100" s="62" t="str">
        <f t="shared" si="72"/>
        <v/>
      </c>
      <c r="AL100" s="61">
        <f>(AL99)+(0)</f>
        <v>-38056.929999999993</v>
      </c>
      <c r="AM100" s="61">
        <f>(AM99)+(0)</f>
        <v>0</v>
      </c>
      <c r="AN100" s="61">
        <f t="shared" si="73"/>
        <v>-38056.929999999993</v>
      </c>
      <c r="AO100" s="62" t="str">
        <f t="shared" si="74"/>
        <v/>
      </c>
      <c r="AP100" s="61">
        <f>(AP99)+(0)</f>
        <v>-45718.04</v>
      </c>
      <c r="AQ100" s="61">
        <f>(AQ99)+(0)</f>
        <v>0</v>
      </c>
      <c r="AR100" s="61">
        <f t="shared" si="75"/>
        <v>-45718.04</v>
      </c>
      <c r="AS100" s="62" t="str">
        <f t="shared" si="76"/>
        <v/>
      </c>
      <c r="AT100" s="61">
        <f>(AT99)+(0)</f>
        <v>-63782.070000000007</v>
      </c>
      <c r="AU100" s="61">
        <f>(AU99)+(0)</f>
        <v>0</v>
      </c>
      <c r="AV100" s="61">
        <f t="shared" si="77"/>
        <v>-63782.070000000007</v>
      </c>
      <c r="AW100" s="62" t="str">
        <f t="shared" si="78"/>
        <v/>
      </c>
      <c r="AX100" s="61">
        <f t="shared" si="79"/>
        <v>302023.95000000007</v>
      </c>
      <c r="AY100" s="61">
        <f t="shared" si="79"/>
        <v>0</v>
      </c>
      <c r="AZ100" s="61">
        <f t="shared" si="80"/>
        <v>302023.95000000007</v>
      </c>
      <c r="BA100" s="62" t="str">
        <f t="shared" si="81"/>
        <v/>
      </c>
    </row>
    <row r="101" spans="1:53" x14ac:dyDescent="0.3">
      <c r="A101" s="57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</row>
    <row r="104" spans="1:53" x14ac:dyDescent="0.3">
      <c r="A104" s="63" t="s">
        <v>177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</row>
  </sheetData>
  <mergeCells count="17">
    <mergeCell ref="A104:BA104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9B79-12F7-46D6-8B4A-C1755762A204}">
  <dimension ref="A1:B39"/>
  <sheetViews>
    <sheetView workbookViewId="0">
      <selection sqref="A1:B1"/>
    </sheetView>
  </sheetViews>
  <sheetFormatPr defaultColWidth="12.44140625" defaultRowHeight="15.6" x14ac:dyDescent="0.3"/>
  <cols>
    <col min="1" max="1" width="36.88671875" style="1" customWidth="1"/>
    <col min="2" max="2" width="8.33203125" style="1" customWidth="1"/>
    <col min="3" max="16384" width="12.44140625" style="2"/>
  </cols>
  <sheetData>
    <row r="1" spans="1:2" x14ac:dyDescent="0.3">
      <c r="A1" s="38" t="s">
        <v>178</v>
      </c>
      <c r="B1" s="39"/>
    </row>
    <row r="2" spans="1:2" x14ac:dyDescent="0.3">
      <c r="A2" s="40" t="s">
        <v>1</v>
      </c>
      <c r="B2" s="39"/>
    </row>
    <row r="3" spans="1:2" x14ac:dyDescent="0.3">
      <c r="A3" s="41" t="s">
        <v>179</v>
      </c>
      <c r="B3" s="39"/>
    </row>
    <row r="5" spans="1:2" x14ac:dyDescent="0.3">
      <c r="A5" s="3" t="s">
        <v>180</v>
      </c>
      <c r="B5" s="3" t="s">
        <v>4</v>
      </c>
    </row>
    <row r="6" spans="1:2" x14ac:dyDescent="0.3">
      <c r="A6" s="4" t="s">
        <v>181</v>
      </c>
      <c r="B6" s="8">
        <v>50251.54</v>
      </c>
    </row>
    <row r="7" spans="1:2" x14ac:dyDescent="0.3">
      <c r="A7" s="4" t="s">
        <v>182</v>
      </c>
      <c r="B7" s="8">
        <v>309</v>
      </c>
    </row>
    <row r="8" spans="1:2" x14ac:dyDescent="0.3">
      <c r="A8" s="4" t="s">
        <v>183</v>
      </c>
      <c r="B8" s="8">
        <v>847</v>
      </c>
    </row>
    <row r="9" spans="1:2" x14ac:dyDescent="0.3">
      <c r="A9" s="4" t="s">
        <v>184</v>
      </c>
      <c r="B9" s="8">
        <v>459.11</v>
      </c>
    </row>
    <row r="10" spans="1:2" x14ac:dyDescent="0.3">
      <c r="A10" s="4" t="s">
        <v>185</v>
      </c>
      <c r="B10" s="8">
        <v>175</v>
      </c>
    </row>
    <row r="11" spans="1:2" x14ac:dyDescent="0.3">
      <c r="A11" s="4" t="s">
        <v>186</v>
      </c>
      <c r="B11" s="8">
        <v>52</v>
      </c>
    </row>
    <row r="12" spans="1:2" x14ac:dyDescent="0.3">
      <c r="A12" s="4" t="s">
        <v>187</v>
      </c>
      <c r="B12" s="8">
        <v>281.06</v>
      </c>
    </row>
    <row r="13" spans="1:2" x14ac:dyDescent="0.3">
      <c r="A13" s="4" t="s">
        <v>188</v>
      </c>
      <c r="B13" s="8">
        <v>1200.83</v>
      </c>
    </row>
    <row r="14" spans="1:2" x14ac:dyDescent="0.3">
      <c r="A14" s="4" t="s">
        <v>189</v>
      </c>
      <c r="B14" s="8">
        <v>51.54</v>
      </c>
    </row>
    <row r="15" spans="1:2" x14ac:dyDescent="0.3">
      <c r="A15" s="4" t="s">
        <v>190</v>
      </c>
      <c r="B15" s="8">
        <v>1190.21</v>
      </c>
    </row>
    <row r="16" spans="1:2" x14ac:dyDescent="0.3">
      <c r="A16" s="4" t="s">
        <v>191</v>
      </c>
      <c r="B16" s="8">
        <v>1817</v>
      </c>
    </row>
    <row r="17" spans="1:2" x14ac:dyDescent="0.3">
      <c r="A17" s="4" t="s">
        <v>192</v>
      </c>
      <c r="B17" s="8">
        <v>472.71</v>
      </c>
    </row>
    <row r="18" spans="1:2" x14ac:dyDescent="0.3">
      <c r="A18" s="4" t="s">
        <v>193</v>
      </c>
      <c r="B18" s="8">
        <v>90.7</v>
      </c>
    </row>
    <row r="19" spans="1:2" x14ac:dyDescent="0.3">
      <c r="A19" s="4" t="s">
        <v>194</v>
      </c>
      <c r="B19" s="8">
        <v>198</v>
      </c>
    </row>
    <row r="20" spans="1:2" x14ac:dyDescent="0.3">
      <c r="A20" s="4" t="s">
        <v>195</v>
      </c>
      <c r="B20" s="8">
        <v>118.75</v>
      </c>
    </row>
    <row r="21" spans="1:2" x14ac:dyDescent="0.3">
      <c r="A21" s="4" t="s">
        <v>196</v>
      </c>
      <c r="B21" s="8">
        <v>673.61</v>
      </c>
    </row>
    <row r="22" spans="1:2" x14ac:dyDescent="0.3">
      <c r="A22" s="4" t="s">
        <v>197</v>
      </c>
      <c r="B22" s="8">
        <v>330.1</v>
      </c>
    </row>
    <row r="23" spans="1:2" x14ac:dyDescent="0.3">
      <c r="A23" s="4" t="s">
        <v>198</v>
      </c>
      <c r="B23" s="8">
        <v>373</v>
      </c>
    </row>
    <row r="24" spans="1:2" x14ac:dyDescent="0.3">
      <c r="A24" s="4" t="s">
        <v>199</v>
      </c>
      <c r="B24" s="8">
        <v>213.6</v>
      </c>
    </row>
    <row r="25" spans="1:2" x14ac:dyDescent="0.3">
      <c r="A25" s="4" t="s">
        <v>200</v>
      </c>
      <c r="B25" s="8">
        <v>808.71</v>
      </c>
    </row>
    <row r="26" spans="1:2" x14ac:dyDescent="0.3">
      <c r="A26" s="4" t="s">
        <v>201</v>
      </c>
      <c r="B26" s="8">
        <v>1656.53</v>
      </c>
    </row>
    <row r="27" spans="1:2" x14ac:dyDescent="0.3">
      <c r="A27" s="4" t="s">
        <v>202</v>
      </c>
      <c r="B27" s="8">
        <v>4020.6</v>
      </c>
    </row>
    <row r="28" spans="1:2" x14ac:dyDescent="0.3">
      <c r="A28" s="4" t="s">
        <v>203</v>
      </c>
      <c r="B28" s="8">
        <v>2595</v>
      </c>
    </row>
    <row r="29" spans="1:2" x14ac:dyDescent="0.3">
      <c r="A29" s="4" t="s">
        <v>204</v>
      </c>
      <c r="B29" s="8">
        <v>223.24</v>
      </c>
    </row>
    <row r="30" spans="1:2" x14ac:dyDescent="0.3">
      <c r="A30" s="4" t="s">
        <v>205</v>
      </c>
      <c r="B30" s="8">
        <v>923.02</v>
      </c>
    </row>
    <row r="31" spans="1:2" x14ac:dyDescent="0.3">
      <c r="A31" s="4" t="s">
        <v>206</v>
      </c>
      <c r="B31" s="8">
        <v>232.5</v>
      </c>
    </row>
    <row r="32" spans="1:2" x14ac:dyDescent="0.3">
      <c r="A32" s="4" t="s">
        <v>207</v>
      </c>
      <c r="B32" s="8">
        <v>40</v>
      </c>
    </row>
    <row r="33" spans="1:2" x14ac:dyDescent="0.3">
      <c r="A33" s="4" t="s">
        <v>208</v>
      </c>
      <c r="B33" s="8">
        <v>2695</v>
      </c>
    </row>
    <row r="34" spans="1:2" x14ac:dyDescent="0.3">
      <c r="A34" s="4" t="s">
        <v>209</v>
      </c>
      <c r="B34" s="8">
        <v>989.65</v>
      </c>
    </row>
    <row r="35" spans="1:2" x14ac:dyDescent="0.3">
      <c r="A35" s="27" t="s">
        <v>210</v>
      </c>
      <c r="B35" s="11">
        <v>73289.009999999995</v>
      </c>
    </row>
    <row r="39" spans="1:2" x14ac:dyDescent="0.3">
      <c r="A39" s="42" t="s">
        <v>67</v>
      </c>
      <c r="B39" s="39"/>
    </row>
  </sheetData>
  <mergeCells count="4">
    <mergeCell ref="A1:B1"/>
    <mergeCell ref="A2:B2"/>
    <mergeCell ref="A3:B3"/>
    <mergeCell ref="A39:B39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8A25-8415-454E-915B-D9D5FB5D57ED}">
  <dimension ref="A1:D14"/>
  <sheetViews>
    <sheetView workbookViewId="0">
      <selection activeCell="C13" sqref="C13"/>
    </sheetView>
  </sheetViews>
  <sheetFormatPr defaultRowHeight="14.4" x14ac:dyDescent="0.3"/>
  <cols>
    <col min="1" max="1" width="12.77734375" customWidth="1"/>
    <col min="2" max="2" width="31.21875" customWidth="1"/>
  </cols>
  <sheetData>
    <row r="1" spans="1:4" x14ac:dyDescent="0.3">
      <c r="A1" t="s">
        <v>211</v>
      </c>
      <c r="B1" t="s">
        <v>212</v>
      </c>
      <c r="C1" t="s">
        <v>213</v>
      </c>
    </row>
    <row r="2" spans="1:4" x14ac:dyDescent="0.3">
      <c r="A2" s="28">
        <v>45992</v>
      </c>
      <c r="B2" t="s">
        <v>214</v>
      </c>
      <c r="C2">
        <v>-174</v>
      </c>
      <c r="D2" t="s">
        <v>215</v>
      </c>
    </row>
    <row r="3" spans="1:4" x14ac:dyDescent="0.3">
      <c r="A3" s="28">
        <v>45993</v>
      </c>
      <c r="B3" t="s">
        <v>216</v>
      </c>
      <c r="C3">
        <v>-278.76</v>
      </c>
      <c r="D3" t="s">
        <v>217</v>
      </c>
    </row>
    <row r="4" spans="1:4" x14ac:dyDescent="0.3">
      <c r="A4" s="28">
        <v>45994</v>
      </c>
      <c r="B4" t="s">
        <v>218</v>
      </c>
      <c r="C4">
        <v>-31.75</v>
      </c>
      <c r="D4" t="s">
        <v>219</v>
      </c>
    </row>
    <row r="5" spans="1:4" x14ac:dyDescent="0.3">
      <c r="A5" s="28">
        <v>45996</v>
      </c>
      <c r="B5" t="s">
        <v>218</v>
      </c>
      <c r="C5">
        <v>-46.05</v>
      </c>
      <c r="D5" t="s">
        <v>219</v>
      </c>
    </row>
    <row r="6" spans="1:4" x14ac:dyDescent="0.3">
      <c r="A6" s="28">
        <v>46001</v>
      </c>
      <c r="B6" t="s">
        <v>220</v>
      </c>
      <c r="C6">
        <v>-31.95</v>
      </c>
      <c r="D6" t="s">
        <v>219</v>
      </c>
    </row>
    <row r="7" spans="1:4" x14ac:dyDescent="0.3">
      <c r="A7" s="28">
        <v>46003</v>
      </c>
      <c r="B7" t="s">
        <v>221</v>
      </c>
      <c r="C7">
        <v>-20.59</v>
      </c>
      <c r="D7" t="s">
        <v>215</v>
      </c>
    </row>
    <row r="8" spans="1:4" x14ac:dyDescent="0.3">
      <c r="A8" s="28">
        <v>46010</v>
      </c>
      <c r="B8" t="s">
        <v>222</v>
      </c>
      <c r="C8">
        <v>-110.37</v>
      </c>
      <c r="D8" t="s">
        <v>223</v>
      </c>
    </row>
    <row r="9" spans="1:4" x14ac:dyDescent="0.3">
      <c r="A9" s="28">
        <v>46013</v>
      </c>
      <c r="B9" t="s">
        <v>222</v>
      </c>
      <c r="C9">
        <v>51.8</v>
      </c>
    </row>
    <row r="10" spans="1:4" x14ac:dyDescent="0.3">
      <c r="A10" s="28">
        <v>46014</v>
      </c>
      <c r="B10" t="s">
        <v>222</v>
      </c>
      <c r="C10">
        <v>-58.66</v>
      </c>
      <c r="D10" t="s">
        <v>224</v>
      </c>
    </row>
    <row r="11" spans="1:4" x14ac:dyDescent="0.3">
      <c r="A11" s="28">
        <v>46015</v>
      </c>
      <c r="B11" t="s">
        <v>225</v>
      </c>
      <c r="C11">
        <v>-27.5</v>
      </c>
      <c r="D11" t="s">
        <v>226</v>
      </c>
    </row>
    <row r="12" spans="1:4" x14ac:dyDescent="0.3">
      <c r="A12" s="28">
        <v>46017</v>
      </c>
      <c r="B12" t="s">
        <v>227</v>
      </c>
      <c r="C12">
        <v>1026.83</v>
      </c>
    </row>
    <row r="13" spans="1:4" x14ac:dyDescent="0.3">
      <c r="A13" s="28">
        <v>46020</v>
      </c>
      <c r="B13" t="s">
        <v>228</v>
      </c>
      <c r="C13">
        <v>-174</v>
      </c>
      <c r="D13" t="s">
        <v>215</v>
      </c>
    </row>
    <row r="14" spans="1:4" x14ac:dyDescent="0.3">
      <c r="A14" s="28">
        <v>46021</v>
      </c>
      <c r="B14" t="s">
        <v>227</v>
      </c>
      <c r="C14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27A8-B644-4346-BAFA-DBF525E6D2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2026 Statistics</vt:lpstr>
      <vt:lpstr>Balance Sheet December 2025</vt:lpstr>
      <vt:lpstr>Profit and Loss December 2025</vt:lpstr>
      <vt:lpstr>Corrected Profit and Loss Dec 2</vt:lpstr>
      <vt:lpstr>Expenses by Vendor December 202</vt:lpstr>
      <vt:lpstr>Credit Card December 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dcterms:created xsi:type="dcterms:W3CDTF">2026-02-06T19:45:26Z</dcterms:created>
  <dcterms:modified xsi:type="dcterms:W3CDTF">2026-02-20T16:53:39Z</dcterms:modified>
</cp:coreProperties>
</file>