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uments\Records\Board Meeting Packets\"/>
    </mc:Choice>
  </mc:AlternateContent>
  <xr:revisionPtr revIDLastSave="0" documentId="13_ncr:1_{25BCFEDC-D442-47C9-B5F1-0051A4FD601D}" xr6:coauthVersionLast="47" xr6:coauthVersionMax="47" xr10:uidLastSave="{00000000-0000-0000-0000-000000000000}"/>
  <bookViews>
    <workbookView xWindow="-108" yWindow="-108" windowWidth="23256" windowHeight="12456" xr2:uid="{FF1BCC71-57C3-4EC8-A24C-1AB494C65C87}"/>
  </bookViews>
  <sheets>
    <sheet name="Statistics Sept 2026" sheetId="2" r:id="rId1"/>
    <sheet name="Balance Sheet Aug 26" sheetId="3" r:id="rId2"/>
    <sheet name="P&amp;L Aug 26" sheetId="4" r:id="rId3"/>
    <sheet name="Expense by Vendor Aug 26" sheetId="5" r:id="rId4"/>
    <sheet name="Credit Card August 2026" sheetId="6" r:id="rId5"/>
  </sheets>
  <externalReferences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9" i="5" l="1"/>
  <c r="AT99" i="4"/>
  <c r="AP99" i="4"/>
  <c r="AL99" i="4"/>
  <c r="AH99" i="4"/>
  <c r="AU98" i="4"/>
  <c r="AQ98" i="4"/>
  <c r="AM98" i="4"/>
  <c r="AI98" i="4"/>
  <c r="AE98" i="4"/>
  <c r="AG98" i="4" s="1"/>
  <c r="AD98" i="4"/>
  <c r="AF98" i="4" s="1"/>
  <c r="AA98" i="4"/>
  <c r="AC98" i="4" s="1"/>
  <c r="Z98" i="4"/>
  <c r="AB98" i="4" s="1"/>
  <c r="W98" i="4"/>
  <c r="Y98" i="4" s="1"/>
  <c r="V98" i="4"/>
  <c r="X98" i="4" s="1"/>
  <c r="S98" i="4"/>
  <c r="U98" i="4" s="1"/>
  <c r="R98" i="4"/>
  <c r="T98" i="4" s="1"/>
  <c r="O98" i="4"/>
  <c r="Q98" i="4" s="1"/>
  <c r="N98" i="4"/>
  <c r="P98" i="4" s="1"/>
  <c r="K98" i="4"/>
  <c r="M98" i="4" s="1"/>
  <c r="J98" i="4"/>
  <c r="L98" i="4" s="1"/>
  <c r="G98" i="4"/>
  <c r="I98" i="4" s="1"/>
  <c r="F98" i="4"/>
  <c r="H98" i="4" s="1"/>
  <c r="C98" i="4"/>
  <c r="B98" i="4"/>
  <c r="AU97" i="4"/>
  <c r="AQ97" i="4"/>
  <c r="AM97" i="4"/>
  <c r="AI97" i="4"/>
  <c r="AE97" i="4"/>
  <c r="AG97" i="4" s="1"/>
  <c r="AD97" i="4"/>
  <c r="AF97" i="4" s="1"/>
  <c r="AA97" i="4"/>
  <c r="AC97" i="4" s="1"/>
  <c r="Z97" i="4"/>
  <c r="AB97" i="4" s="1"/>
  <c r="W97" i="4"/>
  <c r="Y97" i="4" s="1"/>
  <c r="V97" i="4"/>
  <c r="X97" i="4" s="1"/>
  <c r="S97" i="4"/>
  <c r="U97" i="4" s="1"/>
  <c r="R97" i="4"/>
  <c r="T97" i="4" s="1"/>
  <c r="O97" i="4"/>
  <c r="N97" i="4"/>
  <c r="K97" i="4"/>
  <c r="J97" i="4"/>
  <c r="G97" i="4"/>
  <c r="F97" i="4"/>
  <c r="C97" i="4"/>
  <c r="B97" i="4"/>
  <c r="AU96" i="4"/>
  <c r="AQ96" i="4"/>
  <c r="AM96" i="4"/>
  <c r="AI96" i="4"/>
  <c r="AE96" i="4"/>
  <c r="AD96" i="4"/>
  <c r="AA96" i="4"/>
  <c r="Z96" i="4"/>
  <c r="W96" i="4"/>
  <c r="V96" i="4"/>
  <c r="S96" i="4"/>
  <c r="R96" i="4"/>
  <c r="O96" i="4"/>
  <c r="Q96" i="4" s="1"/>
  <c r="N96" i="4"/>
  <c r="P96" i="4" s="1"/>
  <c r="K96" i="4"/>
  <c r="M96" i="4" s="1"/>
  <c r="J96" i="4"/>
  <c r="L96" i="4" s="1"/>
  <c r="G96" i="4"/>
  <c r="I96" i="4" s="1"/>
  <c r="F96" i="4"/>
  <c r="H96" i="4" s="1"/>
  <c r="C96" i="4"/>
  <c r="AU95" i="4"/>
  <c r="AQ95" i="4"/>
  <c r="AM95" i="4"/>
  <c r="AI95" i="4"/>
  <c r="AE95" i="4"/>
  <c r="AG95" i="4" s="1"/>
  <c r="AD95" i="4"/>
  <c r="AF95" i="4" s="1"/>
  <c r="AA95" i="4"/>
  <c r="AC95" i="4" s="1"/>
  <c r="Z95" i="4"/>
  <c r="AB95" i="4" s="1"/>
  <c r="W95" i="4"/>
  <c r="Y95" i="4" s="1"/>
  <c r="V95" i="4"/>
  <c r="X95" i="4" s="1"/>
  <c r="S95" i="4"/>
  <c r="U95" i="4" s="1"/>
  <c r="R95" i="4"/>
  <c r="T95" i="4" s="1"/>
  <c r="O95" i="4"/>
  <c r="Q95" i="4" s="1"/>
  <c r="N95" i="4"/>
  <c r="P95" i="4" s="1"/>
  <c r="K95" i="4"/>
  <c r="M95" i="4" s="1"/>
  <c r="J95" i="4"/>
  <c r="L95" i="4" s="1"/>
  <c r="G95" i="4"/>
  <c r="I95" i="4" s="1"/>
  <c r="F95" i="4"/>
  <c r="H95" i="4" s="1"/>
  <c r="C95" i="4"/>
  <c r="B95" i="4"/>
  <c r="AY94" i="4"/>
  <c r="BA94" i="4" s="1"/>
  <c r="AX94" i="4"/>
  <c r="AZ94" i="4" s="1"/>
  <c r="AW94" i="4"/>
  <c r="AV94" i="4"/>
  <c r="AS94" i="4"/>
  <c r="AR94" i="4"/>
  <c r="AO94" i="4"/>
  <c r="AN94" i="4"/>
  <c r="AK94" i="4"/>
  <c r="AJ94" i="4"/>
  <c r="AG94" i="4"/>
  <c r="AF94" i="4"/>
  <c r="AC94" i="4"/>
  <c r="AB94" i="4"/>
  <c r="Y94" i="4"/>
  <c r="X94" i="4"/>
  <c r="U94" i="4"/>
  <c r="T94" i="4"/>
  <c r="Q94" i="4"/>
  <c r="P94" i="4"/>
  <c r="M94" i="4"/>
  <c r="L94" i="4"/>
  <c r="I94" i="4"/>
  <c r="H94" i="4"/>
  <c r="E94" i="4"/>
  <c r="D94" i="4"/>
  <c r="AT93" i="4"/>
  <c r="AP93" i="4"/>
  <c r="AL93" i="4"/>
  <c r="AH93" i="4"/>
  <c r="AU92" i="4"/>
  <c r="AQ92" i="4"/>
  <c r="AM92" i="4"/>
  <c r="AI92" i="4"/>
  <c r="AE92" i="4"/>
  <c r="AG92" i="4" s="1"/>
  <c r="AD92" i="4"/>
  <c r="AA92" i="4"/>
  <c r="AC92" i="4" s="1"/>
  <c r="Z92" i="4"/>
  <c r="AB92" i="4" s="1"/>
  <c r="W92" i="4"/>
  <c r="Y92" i="4" s="1"/>
  <c r="V92" i="4"/>
  <c r="S92" i="4"/>
  <c r="U92" i="4" s="1"/>
  <c r="R92" i="4"/>
  <c r="O92" i="4"/>
  <c r="Q92" i="4" s="1"/>
  <c r="N92" i="4"/>
  <c r="P92" i="4" s="1"/>
  <c r="K92" i="4"/>
  <c r="M92" i="4" s="1"/>
  <c r="J92" i="4"/>
  <c r="G92" i="4"/>
  <c r="I92" i="4" s="1"/>
  <c r="F92" i="4"/>
  <c r="H92" i="4" s="1"/>
  <c r="C92" i="4"/>
  <c r="B92" i="4"/>
  <c r="AU91" i="4"/>
  <c r="AQ91" i="4"/>
  <c r="AM91" i="4"/>
  <c r="AI91" i="4"/>
  <c r="AE91" i="4"/>
  <c r="AA91" i="4"/>
  <c r="AC91" i="4" s="1"/>
  <c r="Z91" i="4"/>
  <c r="AB91" i="4" s="1"/>
  <c r="W91" i="4"/>
  <c r="S91" i="4"/>
  <c r="O91" i="4"/>
  <c r="K91" i="4"/>
  <c r="G91" i="4"/>
  <c r="I91" i="4" s="1"/>
  <c r="F91" i="4"/>
  <c r="C91" i="4"/>
  <c r="AU90" i="4"/>
  <c r="AQ90" i="4"/>
  <c r="AM90" i="4"/>
  <c r="AI90" i="4"/>
  <c r="AE90" i="4"/>
  <c r="AA90" i="4"/>
  <c r="W90" i="4"/>
  <c r="S90" i="4"/>
  <c r="O90" i="4"/>
  <c r="K90" i="4"/>
  <c r="G90" i="4"/>
  <c r="C90" i="4"/>
  <c r="B90" i="4"/>
  <c r="AU89" i="4"/>
  <c r="AQ89" i="4"/>
  <c r="AM89" i="4"/>
  <c r="AI89" i="4"/>
  <c r="AE89" i="4"/>
  <c r="AA89" i="4"/>
  <c r="Z89" i="4"/>
  <c r="W89" i="4"/>
  <c r="S89" i="4"/>
  <c r="O89" i="4"/>
  <c r="N89" i="4"/>
  <c r="K89" i="4"/>
  <c r="G89" i="4"/>
  <c r="F89" i="4"/>
  <c r="C89" i="4"/>
  <c r="AX88" i="4"/>
  <c r="AU88" i="4"/>
  <c r="AQ88" i="4"/>
  <c r="AM88" i="4"/>
  <c r="AI88" i="4"/>
  <c r="AE88" i="4"/>
  <c r="AC88" i="4"/>
  <c r="AA88" i="4"/>
  <c r="Z88" i="4"/>
  <c r="AB88" i="4" s="1"/>
  <c r="W88" i="4"/>
  <c r="Y88" i="4" s="1"/>
  <c r="V88" i="4"/>
  <c r="X88" i="4" s="1"/>
  <c r="S88" i="4"/>
  <c r="U88" i="4" s="1"/>
  <c r="R88" i="4"/>
  <c r="T88" i="4" s="1"/>
  <c r="O88" i="4"/>
  <c r="Q88" i="4" s="1"/>
  <c r="N88" i="4"/>
  <c r="P88" i="4" s="1"/>
  <c r="K88" i="4"/>
  <c r="M88" i="4" s="1"/>
  <c r="J88" i="4"/>
  <c r="L88" i="4" s="1"/>
  <c r="G88" i="4"/>
  <c r="I88" i="4" s="1"/>
  <c r="F88" i="4"/>
  <c r="H88" i="4" s="1"/>
  <c r="C88" i="4"/>
  <c r="AY87" i="4"/>
  <c r="BA87" i="4" s="1"/>
  <c r="AX87" i="4"/>
  <c r="AZ87" i="4" s="1"/>
  <c r="AW87" i="4"/>
  <c r="AV87" i="4"/>
  <c r="AS87" i="4"/>
  <c r="AR87" i="4"/>
  <c r="AO87" i="4"/>
  <c r="AN87" i="4"/>
  <c r="AK87" i="4"/>
  <c r="AJ87" i="4"/>
  <c r="AG87" i="4"/>
  <c r="AF87" i="4"/>
  <c r="AC87" i="4"/>
  <c r="AB87" i="4"/>
  <c r="Y87" i="4"/>
  <c r="X87" i="4"/>
  <c r="U87" i="4"/>
  <c r="T87" i="4"/>
  <c r="Q87" i="4"/>
  <c r="P87" i="4"/>
  <c r="M87" i="4"/>
  <c r="L87" i="4"/>
  <c r="I87" i="4"/>
  <c r="H87" i="4"/>
  <c r="E87" i="4"/>
  <c r="D87" i="4"/>
  <c r="AU86" i="4"/>
  <c r="AQ86" i="4"/>
  <c r="AM86" i="4"/>
  <c r="AI86" i="4"/>
  <c r="AE86" i="4"/>
  <c r="AA86" i="4"/>
  <c r="W86" i="4"/>
  <c r="S86" i="4"/>
  <c r="O86" i="4"/>
  <c r="K86" i="4"/>
  <c r="M86" i="4" s="1"/>
  <c r="J86" i="4"/>
  <c r="L86" i="4" s="1"/>
  <c r="G86" i="4"/>
  <c r="I86" i="4" s="1"/>
  <c r="F86" i="4"/>
  <c r="H86" i="4" s="1"/>
  <c r="C86" i="4"/>
  <c r="B86" i="4"/>
  <c r="AT85" i="4"/>
  <c r="AP85" i="4"/>
  <c r="AL85" i="4"/>
  <c r="AH85" i="4"/>
  <c r="AX84" i="4"/>
  <c r="AU84" i="4"/>
  <c r="AQ84" i="4"/>
  <c r="AM84" i="4"/>
  <c r="AI84" i="4"/>
  <c r="AE84" i="4"/>
  <c r="AA84" i="4"/>
  <c r="W84" i="4"/>
  <c r="S84" i="4"/>
  <c r="O84" i="4"/>
  <c r="K84" i="4"/>
  <c r="G84" i="4"/>
  <c r="C84" i="4"/>
  <c r="AU83" i="4"/>
  <c r="AQ83" i="4"/>
  <c r="AM83" i="4"/>
  <c r="AI83" i="4"/>
  <c r="AE83" i="4"/>
  <c r="AA83" i="4"/>
  <c r="W83" i="4"/>
  <c r="Y83" i="4" s="1"/>
  <c r="V83" i="4"/>
  <c r="X83" i="4" s="1"/>
  <c r="S83" i="4"/>
  <c r="U83" i="4" s="1"/>
  <c r="R83" i="4"/>
  <c r="T83" i="4" s="1"/>
  <c r="O83" i="4"/>
  <c r="K83" i="4"/>
  <c r="M83" i="4" s="1"/>
  <c r="J83" i="4"/>
  <c r="L83" i="4" s="1"/>
  <c r="G83" i="4"/>
  <c r="I83" i="4" s="1"/>
  <c r="F83" i="4"/>
  <c r="H83" i="4" s="1"/>
  <c r="C83" i="4"/>
  <c r="B83" i="4"/>
  <c r="AU82" i="4"/>
  <c r="AQ82" i="4"/>
  <c r="AM82" i="4"/>
  <c r="AI82" i="4"/>
  <c r="AE82" i="4"/>
  <c r="AG82" i="4" s="1"/>
  <c r="AD82" i="4"/>
  <c r="AF82" i="4" s="1"/>
  <c r="AA82" i="4"/>
  <c r="AC82" i="4" s="1"/>
  <c r="Z82" i="4"/>
  <c r="AB82" i="4" s="1"/>
  <c r="W82" i="4"/>
  <c r="Y82" i="4" s="1"/>
  <c r="V82" i="4"/>
  <c r="X82" i="4" s="1"/>
  <c r="S82" i="4"/>
  <c r="U82" i="4" s="1"/>
  <c r="R82" i="4"/>
  <c r="T82" i="4" s="1"/>
  <c r="O82" i="4"/>
  <c r="Q82" i="4" s="1"/>
  <c r="N82" i="4"/>
  <c r="P82" i="4" s="1"/>
  <c r="K82" i="4"/>
  <c r="M82" i="4" s="1"/>
  <c r="J82" i="4"/>
  <c r="L82" i="4" s="1"/>
  <c r="G82" i="4"/>
  <c r="I82" i="4" s="1"/>
  <c r="F82" i="4"/>
  <c r="H82" i="4" s="1"/>
  <c r="C82" i="4"/>
  <c r="B82" i="4"/>
  <c r="AU81" i="4"/>
  <c r="AQ81" i="4"/>
  <c r="AM81" i="4"/>
  <c r="AI81" i="4"/>
  <c r="AE81" i="4"/>
  <c r="AD81" i="4"/>
  <c r="AA81" i="4"/>
  <c r="Z81" i="4"/>
  <c r="W81" i="4"/>
  <c r="V81" i="4"/>
  <c r="S81" i="4"/>
  <c r="R81" i="4"/>
  <c r="O81" i="4"/>
  <c r="N81" i="4"/>
  <c r="K81" i="4"/>
  <c r="J81" i="4"/>
  <c r="G81" i="4"/>
  <c r="F81" i="4"/>
  <c r="C81" i="4"/>
  <c r="B81" i="4"/>
  <c r="AY80" i="4"/>
  <c r="BA80" i="4" s="1"/>
  <c r="AX80" i="4"/>
  <c r="AZ80" i="4" s="1"/>
  <c r="AW80" i="4"/>
  <c r="AV80" i="4"/>
  <c r="AS80" i="4"/>
  <c r="AR80" i="4"/>
  <c r="AO80" i="4"/>
  <c r="AN80" i="4"/>
  <c r="AK80" i="4"/>
  <c r="AJ80" i="4"/>
  <c r="AG80" i="4"/>
  <c r="AF80" i="4"/>
  <c r="AC80" i="4"/>
  <c r="AB80" i="4"/>
  <c r="Y80" i="4"/>
  <c r="X80" i="4"/>
  <c r="U80" i="4"/>
  <c r="T80" i="4"/>
  <c r="Q80" i="4"/>
  <c r="P80" i="4"/>
  <c r="M80" i="4"/>
  <c r="L80" i="4"/>
  <c r="I80" i="4"/>
  <c r="H80" i="4"/>
  <c r="E80" i="4"/>
  <c r="D80" i="4"/>
  <c r="AY79" i="4"/>
  <c r="BA79" i="4" s="1"/>
  <c r="AW79" i="4"/>
  <c r="AV79" i="4"/>
  <c r="AS79" i="4"/>
  <c r="AR79" i="4"/>
  <c r="AO79" i="4"/>
  <c r="AN79" i="4"/>
  <c r="AK79" i="4"/>
  <c r="AJ79" i="4"/>
  <c r="AG79" i="4"/>
  <c r="AD79" i="4"/>
  <c r="AF79" i="4" s="1"/>
  <c r="AC79" i="4"/>
  <c r="Z79" i="4"/>
  <c r="AB79" i="4" s="1"/>
  <c r="Y79" i="4"/>
  <c r="V79" i="4"/>
  <c r="X79" i="4" s="1"/>
  <c r="U79" i="4"/>
  <c r="R79" i="4"/>
  <c r="T79" i="4" s="1"/>
  <c r="Q79" i="4"/>
  <c r="N79" i="4"/>
  <c r="P79" i="4" s="1"/>
  <c r="M79" i="4"/>
  <c r="L79" i="4"/>
  <c r="I79" i="4"/>
  <c r="H79" i="4"/>
  <c r="E79" i="4"/>
  <c r="B79" i="4"/>
  <c r="AT78" i="4"/>
  <c r="AP78" i="4"/>
  <c r="AL78" i="4"/>
  <c r="AH78" i="4"/>
  <c r="AU77" i="4"/>
  <c r="AQ77" i="4"/>
  <c r="AM77" i="4"/>
  <c r="AI77" i="4"/>
  <c r="AE77" i="4"/>
  <c r="AG77" i="4" s="1"/>
  <c r="AD77" i="4"/>
  <c r="AA77" i="4"/>
  <c r="AC77" i="4" s="1"/>
  <c r="Z77" i="4"/>
  <c r="W77" i="4"/>
  <c r="Y77" i="4" s="1"/>
  <c r="V77" i="4"/>
  <c r="X77" i="4" s="1"/>
  <c r="S77" i="4"/>
  <c r="U77" i="4" s="1"/>
  <c r="R77" i="4"/>
  <c r="T77" i="4" s="1"/>
  <c r="O77" i="4"/>
  <c r="Q77" i="4" s="1"/>
  <c r="N77" i="4"/>
  <c r="P77" i="4" s="1"/>
  <c r="K77" i="4"/>
  <c r="M77" i="4" s="1"/>
  <c r="J77" i="4"/>
  <c r="L77" i="4" s="1"/>
  <c r="G77" i="4"/>
  <c r="I77" i="4" s="1"/>
  <c r="F77" i="4"/>
  <c r="C77" i="4"/>
  <c r="B77" i="4"/>
  <c r="AU76" i="4"/>
  <c r="AQ76" i="4"/>
  <c r="AM76" i="4"/>
  <c r="AI76" i="4"/>
  <c r="AE76" i="4"/>
  <c r="AA76" i="4"/>
  <c r="W76" i="4"/>
  <c r="V76" i="4"/>
  <c r="S76" i="4"/>
  <c r="R76" i="4"/>
  <c r="O76" i="4"/>
  <c r="N76" i="4"/>
  <c r="K76" i="4"/>
  <c r="J76" i="4"/>
  <c r="G76" i="4"/>
  <c r="C76" i="4"/>
  <c r="B76" i="4"/>
  <c r="AY75" i="4"/>
  <c r="BA75" i="4" s="1"/>
  <c r="AX75" i="4"/>
  <c r="AZ75" i="4" s="1"/>
  <c r="AW75" i="4"/>
  <c r="AV75" i="4"/>
  <c r="AS75" i="4"/>
  <c r="AR75" i="4"/>
  <c r="AO75" i="4"/>
  <c r="AN75" i="4"/>
  <c r="AK75" i="4"/>
  <c r="AJ75" i="4"/>
  <c r="AG75" i="4"/>
  <c r="AF75" i="4"/>
  <c r="AC75" i="4"/>
  <c r="AB75" i="4"/>
  <c r="Y75" i="4"/>
  <c r="X75" i="4"/>
  <c r="U75" i="4"/>
  <c r="T75" i="4"/>
  <c r="Q75" i="4"/>
  <c r="P75" i="4"/>
  <c r="M75" i="4"/>
  <c r="L75" i="4"/>
  <c r="I75" i="4"/>
  <c r="H75" i="4"/>
  <c r="E75" i="4"/>
  <c r="D75" i="4"/>
  <c r="AU74" i="4"/>
  <c r="AQ74" i="4"/>
  <c r="AM74" i="4"/>
  <c r="AI74" i="4"/>
  <c r="AE74" i="4"/>
  <c r="AA74" i="4"/>
  <c r="W74" i="4"/>
  <c r="S74" i="4"/>
  <c r="O74" i="4"/>
  <c r="K74" i="4"/>
  <c r="G74" i="4"/>
  <c r="C74" i="4"/>
  <c r="B74" i="4"/>
  <c r="AU73" i="4"/>
  <c r="AQ73" i="4"/>
  <c r="AM73" i="4"/>
  <c r="AI73" i="4"/>
  <c r="AE73" i="4"/>
  <c r="AG73" i="4" s="1"/>
  <c r="AD73" i="4"/>
  <c r="AF73" i="4" s="1"/>
  <c r="AA73" i="4"/>
  <c r="AC73" i="4" s="1"/>
  <c r="Z73" i="4"/>
  <c r="AB73" i="4" s="1"/>
  <c r="W73" i="4"/>
  <c r="Y73" i="4" s="1"/>
  <c r="V73" i="4"/>
  <c r="X73" i="4" s="1"/>
  <c r="S73" i="4"/>
  <c r="U73" i="4" s="1"/>
  <c r="R73" i="4"/>
  <c r="T73" i="4" s="1"/>
  <c r="O73" i="4"/>
  <c r="Q73" i="4" s="1"/>
  <c r="N73" i="4"/>
  <c r="P73" i="4" s="1"/>
  <c r="K73" i="4"/>
  <c r="M73" i="4" s="1"/>
  <c r="J73" i="4"/>
  <c r="L73" i="4" s="1"/>
  <c r="G73" i="4"/>
  <c r="I73" i="4" s="1"/>
  <c r="F73" i="4"/>
  <c r="H73" i="4" s="1"/>
  <c r="C73" i="4"/>
  <c r="B73" i="4"/>
  <c r="AU72" i="4"/>
  <c r="AQ72" i="4"/>
  <c r="AM72" i="4"/>
  <c r="AI72" i="4"/>
  <c r="AE72" i="4"/>
  <c r="AG72" i="4" s="1"/>
  <c r="AD72" i="4"/>
  <c r="AF72" i="4" s="1"/>
  <c r="AA72" i="4"/>
  <c r="AC72" i="4" s="1"/>
  <c r="Z72" i="4"/>
  <c r="AB72" i="4" s="1"/>
  <c r="W72" i="4"/>
  <c r="Y72" i="4" s="1"/>
  <c r="V72" i="4"/>
  <c r="X72" i="4" s="1"/>
  <c r="S72" i="4"/>
  <c r="U72" i="4" s="1"/>
  <c r="R72" i="4"/>
  <c r="T72" i="4" s="1"/>
  <c r="O72" i="4"/>
  <c r="K72" i="4"/>
  <c r="M72" i="4" s="1"/>
  <c r="J72" i="4"/>
  <c r="L72" i="4" s="1"/>
  <c r="G72" i="4"/>
  <c r="I72" i="4" s="1"/>
  <c r="F72" i="4"/>
  <c r="H72" i="4" s="1"/>
  <c r="C72" i="4"/>
  <c r="B72" i="4"/>
  <c r="AT71" i="4"/>
  <c r="AP71" i="4"/>
  <c r="AL71" i="4"/>
  <c r="AH71" i="4"/>
  <c r="AX70" i="4"/>
  <c r="AU70" i="4"/>
  <c r="AQ70" i="4"/>
  <c r="AM70" i="4"/>
  <c r="AI70" i="4"/>
  <c r="AE70" i="4"/>
  <c r="AA70" i="4"/>
  <c r="X70" i="4"/>
  <c r="W70" i="4"/>
  <c r="Y70" i="4" s="1"/>
  <c r="S70" i="4"/>
  <c r="O70" i="4"/>
  <c r="K70" i="4"/>
  <c r="G70" i="4"/>
  <c r="C70" i="4"/>
  <c r="AU69" i="4"/>
  <c r="AQ69" i="4"/>
  <c r="AM69" i="4"/>
  <c r="AI69" i="4"/>
  <c r="AE69" i="4"/>
  <c r="AG69" i="4" s="1"/>
  <c r="AD69" i="4"/>
  <c r="AF69" i="4" s="1"/>
  <c r="AA69" i="4"/>
  <c r="AC69" i="4" s="1"/>
  <c r="Z69" i="4"/>
  <c r="AB69" i="4" s="1"/>
  <c r="W69" i="4"/>
  <c r="S69" i="4"/>
  <c r="U69" i="4" s="1"/>
  <c r="R69" i="4"/>
  <c r="T69" i="4" s="1"/>
  <c r="O69" i="4"/>
  <c r="Q69" i="4" s="1"/>
  <c r="N69" i="4"/>
  <c r="P69" i="4" s="1"/>
  <c r="K69" i="4"/>
  <c r="G69" i="4"/>
  <c r="I69" i="4" s="1"/>
  <c r="F69" i="4"/>
  <c r="H69" i="4" s="1"/>
  <c r="C69" i="4"/>
  <c r="B69" i="4"/>
  <c r="AU68" i="4"/>
  <c r="AQ68" i="4"/>
  <c r="AM68" i="4"/>
  <c r="AI68" i="4"/>
  <c r="AE68" i="4"/>
  <c r="AA68" i="4"/>
  <c r="W68" i="4"/>
  <c r="Y68" i="4" s="1"/>
  <c r="V68" i="4"/>
  <c r="X68" i="4" s="1"/>
  <c r="S68" i="4"/>
  <c r="O68" i="4"/>
  <c r="K68" i="4"/>
  <c r="M68" i="4" s="1"/>
  <c r="J68" i="4"/>
  <c r="G68" i="4"/>
  <c r="C68" i="4"/>
  <c r="AU67" i="4"/>
  <c r="AQ67" i="4"/>
  <c r="AM67" i="4"/>
  <c r="AI67" i="4"/>
  <c r="AE67" i="4"/>
  <c r="AG67" i="4" s="1"/>
  <c r="AD67" i="4"/>
  <c r="AF67" i="4" s="1"/>
  <c r="AA67" i="4"/>
  <c r="X67" i="4"/>
  <c r="W67" i="4"/>
  <c r="Y67" i="4" s="1"/>
  <c r="V67" i="4"/>
  <c r="S67" i="4"/>
  <c r="U67" i="4" s="1"/>
  <c r="R67" i="4"/>
  <c r="T67" i="4" s="1"/>
  <c r="O67" i="4"/>
  <c r="K67" i="4"/>
  <c r="M67" i="4" s="1"/>
  <c r="J67" i="4"/>
  <c r="G67" i="4"/>
  <c r="C67" i="4"/>
  <c r="AU66" i="4"/>
  <c r="AQ66" i="4"/>
  <c r="AM66" i="4"/>
  <c r="AI66" i="4"/>
  <c r="AE66" i="4"/>
  <c r="AA66" i="4"/>
  <c r="AC66" i="4" s="1"/>
  <c r="Z66" i="4"/>
  <c r="AB66" i="4" s="1"/>
  <c r="W66" i="4"/>
  <c r="S66" i="4"/>
  <c r="O66" i="4"/>
  <c r="Q66" i="4" s="1"/>
  <c r="N66" i="4"/>
  <c r="P66" i="4" s="1"/>
  <c r="K66" i="4"/>
  <c r="M66" i="4" s="1"/>
  <c r="J66" i="4"/>
  <c r="L66" i="4" s="1"/>
  <c r="G66" i="4"/>
  <c r="C66" i="4"/>
  <c r="B66" i="4"/>
  <c r="AU65" i="4"/>
  <c r="AQ65" i="4"/>
  <c r="AO65" i="4"/>
  <c r="AM65" i="4"/>
  <c r="AN65" i="4" s="1"/>
  <c r="AI65" i="4"/>
  <c r="AE65" i="4"/>
  <c r="AG65" i="4" s="1"/>
  <c r="AD65" i="4"/>
  <c r="AA65" i="4"/>
  <c r="AC65" i="4" s="1"/>
  <c r="Z65" i="4"/>
  <c r="W65" i="4"/>
  <c r="Y65" i="4" s="1"/>
  <c r="V65" i="4"/>
  <c r="S65" i="4"/>
  <c r="U65" i="4" s="1"/>
  <c r="R65" i="4"/>
  <c r="O65" i="4"/>
  <c r="Q65" i="4" s="1"/>
  <c r="N65" i="4"/>
  <c r="K65" i="4"/>
  <c r="J65" i="4"/>
  <c r="G65" i="4"/>
  <c r="I65" i="4" s="1"/>
  <c r="F65" i="4"/>
  <c r="C65" i="4"/>
  <c r="AX64" i="4"/>
  <c r="AU64" i="4"/>
  <c r="AQ64" i="4"/>
  <c r="AM64" i="4"/>
  <c r="AI64" i="4"/>
  <c r="AE64" i="4"/>
  <c r="AA64" i="4"/>
  <c r="W64" i="4"/>
  <c r="S64" i="4"/>
  <c r="O64" i="4"/>
  <c r="K64" i="4"/>
  <c r="G64" i="4"/>
  <c r="C64" i="4"/>
  <c r="AY63" i="4"/>
  <c r="BA63" i="4" s="1"/>
  <c r="AX63" i="4"/>
  <c r="AZ63" i="4" s="1"/>
  <c r="AW63" i="4"/>
  <c r="AV63" i="4"/>
  <c r="AS63" i="4"/>
  <c r="AR63" i="4"/>
  <c r="AO63" i="4"/>
  <c r="AN63" i="4"/>
  <c r="AK63" i="4"/>
  <c r="AJ63" i="4"/>
  <c r="AG63" i="4"/>
  <c r="AF63" i="4"/>
  <c r="AC63" i="4"/>
  <c r="AB63" i="4"/>
  <c r="Y63" i="4"/>
  <c r="X63" i="4"/>
  <c r="U63" i="4"/>
  <c r="T63" i="4"/>
  <c r="Q63" i="4"/>
  <c r="P63" i="4"/>
  <c r="M63" i="4"/>
  <c r="L63" i="4"/>
  <c r="I63" i="4"/>
  <c r="H63" i="4"/>
  <c r="E63" i="4"/>
  <c r="D63" i="4"/>
  <c r="AU62" i="4"/>
  <c r="AQ62" i="4"/>
  <c r="AM62" i="4"/>
  <c r="AI62" i="4"/>
  <c r="AE62" i="4"/>
  <c r="AA62" i="4"/>
  <c r="W62" i="4"/>
  <c r="S62" i="4"/>
  <c r="O62" i="4"/>
  <c r="K62" i="4"/>
  <c r="G62" i="4"/>
  <c r="C62" i="4"/>
  <c r="B62" i="4"/>
  <c r="AU61" i="4"/>
  <c r="AQ61" i="4"/>
  <c r="AM61" i="4"/>
  <c r="AI61" i="4"/>
  <c r="AE61" i="4"/>
  <c r="AG61" i="4" s="1"/>
  <c r="AD61" i="4"/>
  <c r="AF61" i="4" s="1"/>
  <c r="AA61" i="4"/>
  <c r="AC61" i="4" s="1"/>
  <c r="Z61" i="4"/>
  <c r="AB61" i="4" s="1"/>
  <c r="W61" i="4"/>
  <c r="Y61" i="4" s="1"/>
  <c r="V61" i="4"/>
  <c r="X61" i="4" s="1"/>
  <c r="S61" i="4"/>
  <c r="U61" i="4" s="1"/>
  <c r="R61" i="4"/>
  <c r="T61" i="4" s="1"/>
  <c r="O61" i="4"/>
  <c r="Q61" i="4" s="1"/>
  <c r="N61" i="4"/>
  <c r="P61" i="4" s="1"/>
  <c r="K61" i="4"/>
  <c r="M61" i="4" s="1"/>
  <c r="J61" i="4"/>
  <c r="L61" i="4" s="1"/>
  <c r="G61" i="4"/>
  <c r="I61" i="4" s="1"/>
  <c r="F61" i="4"/>
  <c r="H61" i="4" s="1"/>
  <c r="C61" i="4"/>
  <c r="B61" i="4"/>
  <c r="AX60" i="4"/>
  <c r="AV60" i="4"/>
  <c r="AU60" i="4"/>
  <c r="AW60" i="4" s="1"/>
  <c r="AQ60" i="4"/>
  <c r="AM60" i="4"/>
  <c r="AI60" i="4"/>
  <c r="AE60" i="4"/>
  <c r="AA60" i="4"/>
  <c r="W60" i="4"/>
  <c r="S60" i="4"/>
  <c r="P60" i="4"/>
  <c r="O60" i="4"/>
  <c r="Q60" i="4" s="1"/>
  <c r="K60" i="4"/>
  <c r="H60" i="4"/>
  <c r="G60" i="4"/>
  <c r="I60" i="4" s="1"/>
  <c r="C60" i="4"/>
  <c r="AT59" i="4"/>
  <c r="AP59" i="4"/>
  <c r="AL59" i="4"/>
  <c r="AH59" i="4"/>
  <c r="V59" i="4"/>
  <c r="R59" i="4"/>
  <c r="J59" i="4"/>
  <c r="AY58" i="4"/>
  <c r="BA58" i="4" s="1"/>
  <c r="AW58" i="4"/>
  <c r="AV58" i="4"/>
  <c r="AS58" i="4"/>
  <c r="AR58" i="4"/>
  <c r="AO58" i="4"/>
  <c r="AN58" i="4"/>
  <c r="AK58" i="4"/>
  <c r="AJ58" i="4"/>
  <c r="AG58" i="4"/>
  <c r="AD58" i="4"/>
  <c r="AF58" i="4" s="1"/>
  <c r="AC58" i="4"/>
  <c r="Z58" i="4"/>
  <c r="Y58" i="4"/>
  <c r="X58" i="4"/>
  <c r="U58" i="4"/>
  <c r="T58" i="4"/>
  <c r="Q58" i="4"/>
  <c r="N58" i="4"/>
  <c r="P58" i="4" s="1"/>
  <c r="M58" i="4"/>
  <c r="L58" i="4"/>
  <c r="I58" i="4"/>
  <c r="F58" i="4"/>
  <c r="E58" i="4"/>
  <c r="D58" i="4"/>
  <c r="AU57" i="4"/>
  <c r="AR57" i="4"/>
  <c r="AQ57" i="4"/>
  <c r="AS57" i="4" s="1"/>
  <c r="AM57" i="4"/>
  <c r="AJ57" i="4"/>
  <c r="AI57" i="4"/>
  <c r="AK57" i="4" s="1"/>
  <c r="AE57" i="4"/>
  <c r="AG57" i="4" s="1"/>
  <c r="AD57" i="4"/>
  <c r="AA57" i="4"/>
  <c r="W57" i="4"/>
  <c r="S57" i="4"/>
  <c r="O57" i="4"/>
  <c r="Q57" i="4" s="1"/>
  <c r="N57" i="4"/>
  <c r="M57" i="4"/>
  <c r="K57" i="4"/>
  <c r="L57" i="4" s="1"/>
  <c r="G57" i="4"/>
  <c r="I57" i="4" s="1"/>
  <c r="F57" i="4"/>
  <c r="C57" i="4"/>
  <c r="B57" i="4"/>
  <c r="AY56" i="4"/>
  <c r="BA56" i="4" s="1"/>
  <c r="AX56" i="4"/>
  <c r="AZ56" i="4" s="1"/>
  <c r="AW56" i="4"/>
  <c r="AU56" i="4"/>
  <c r="AQ56" i="4"/>
  <c r="AM56" i="4"/>
  <c r="AI56" i="4"/>
  <c r="AE56" i="4"/>
  <c r="AA56" i="4"/>
  <c r="W56" i="4"/>
  <c r="S56" i="4"/>
  <c r="O56" i="4"/>
  <c r="K56" i="4"/>
  <c r="G56" i="4"/>
  <c r="C56" i="4"/>
  <c r="B56" i="4"/>
  <c r="AY55" i="4"/>
  <c r="BA55" i="4" s="1"/>
  <c r="AX55" i="4"/>
  <c r="AZ55" i="4" s="1"/>
  <c r="AW55" i="4"/>
  <c r="AV55" i="4"/>
  <c r="AS55" i="4"/>
  <c r="AR55" i="4"/>
  <c r="AO55" i="4"/>
  <c r="AN55" i="4"/>
  <c r="AK55" i="4"/>
  <c r="AJ55" i="4"/>
  <c r="AG55" i="4"/>
  <c r="AF55" i="4"/>
  <c r="AC55" i="4"/>
  <c r="AB55" i="4"/>
  <c r="Y55" i="4"/>
  <c r="X55" i="4"/>
  <c r="U55" i="4"/>
  <c r="T55" i="4"/>
  <c r="Q55" i="4"/>
  <c r="P55" i="4"/>
  <c r="M55" i="4"/>
  <c r="L55" i="4"/>
  <c r="I55" i="4"/>
  <c r="H55" i="4"/>
  <c r="E55" i="4"/>
  <c r="D55" i="4"/>
  <c r="AX54" i="4"/>
  <c r="AW54" i="4"/>
  <c r="AU54" i="4"/>
  <c r="AV54" i="4" s="1"/>
  <c r="AR54" i="4"/>
  <c r="AQ54" i="4"/>
  <c r="AS54" i="4" s="1"/>
  <c r="AM54" i="4"/>
  <c r="AJ54" i="4"/>
  <c r="AI54" i="4"/>
  <c r="AK54" i="4" s="1"/>
  <c r="AE54" i="4"/>
  <c r="AA54" i="4"/>
  <c r="W54" i="4"/>
  <c r="S54" i="4"/>
  <c r="O54" i="4"/>
  <c r="K54" i="4"/>
  <c r="G54" i="4"/>
  <c r="D54" i="4"/>
  <c r="C54" i="4"/>
  <c r="AU53" i="4"/>
  <c r="AR53" i="4"/>
  <c r="AQ53" i="4"/>
  <c r="AS53" i="4" s="1"/>
  <c r="AN53" i="4"/>
  <c r="AM53" i="4"/>
  <c r="AO53" i="4" s="1"/>
  <c r="AI53" i="4"/>
  <c r="AE53" i="4"/>
  <c r="AG53" i="4" s="1"/>
  <c r="AD53" i="4"/>
  <c r="AF53" i="4" s="1"/>
  <c r="AA53" i="4"/>
  <c r="AC53" i="4" s="1"/>
  <c r="Z53" i="4"/>
  <c r="AB53" i="4" s="1"/>
  <c r="W53" i="4"/>
  <c r="Y53" i="4" s="1"/>
  <c r="V53" i="4"/>
  <c r="X53" i="4" s="1"/>
  <c r="S53" i="4"/>
  <c r="U53" i="4" s="1"/>
  <c r="R53" i="4"/>
  <c r="T53" i="4" s="1"/>
  <c r="O53" i="4"/>
  <c r="Q53" i="4" s="1"/>
  <c r="N53" i="4"/>
  <c r="P53" i="4" s="1"/>
  <c r="K53" i="4"/>
  <c r="M53" i="4" s="1"/>
  <c r="J53" i="4"/>
  <c r="L53" i="4" s="1"/>
  <c r="G53" i="4"/>
  <c r="C53" i="4"/>
  <c r="B53" i="4"/>
  <c r="AU51" i="4"/>
  <c r="AQ51" i="4"/>
  <c r="AM51" i="4"/>
  <c r="AI51" i="4"/>
  <c r="AF51" i="4"/>
  <c r="AE51" i="4"/>
  <c r="AG51" i="4" s="1"/>
  <c r="AA51" i="4"/>
  <c r="W51" i="4"/>
  <c r="S51" i="4"/>
  <c r="O51" i="4"/>
  <c r="K51" i="4"/>
  <c r="G51" i="4"/>
  <c r="C51" i="4"/>
  <c r="B51" i="4"/>
  <c r="AT50" i="4"/>
  <c r="AP50" i="4"/>
  <c r="AL50" i="4"/>
  <c r="AH50" i="4"/>
  <c r="AU49" i="4"/>
  <c r="AR49" i="4"/>
  <c r="AQ49" i="4"/>
  <c r="AS49" i="4" s="1"/>
  <c r="AM49" i="4"/>
  <c r="AI49" i="4"/>
  <c r="AF49" i="4"/>
  <c r="AE49" i="4"/>
  <c r="AG49" i="4" s="1"/>
  <c r="AD49" i="4"/>
  <c r="AA49" i="4"/>
  <c r="W49" i="4"/>
  <c r="Y49" i="4" s="1"/>
  <c r="V49" i="4"/>
  <c r="X49" i="4" s="1"/>
  <c r="S49" i="4"/>
  <c r="U49" i="4" s="1"/>
  <c r="R49" i="4"/>
  <c r="T49" i="4" s="1"/>
  <c r="P49" i="4"/>
  <c r="O49" i="4"/>
  <c r="Q49" i="4" s="1"/>
  <c r="K49" i="4"/>
  <c r="M49" i="4" s="1"/>
  <c r="J49" i="4"/>
  <c r="G49" i="4"/>
  <c r="C49" i="4"/>
  <c r="AV48" i="4"/>
  <c r="AU48" i="4"/>
  <c r="AW48" i="4" s="1"/>
  <c r="AQ48" i="4"/>
  <c r="AM48" i="4"/>
  <c r="AI48" i="4"/>
  <c r="AE48" i="4"/>
  <c r="AG48" i="4" s="1"/>
  <c r="AD48" i="4"/>
  <c r="AF48" i="4" s="1"/>
  <c r="AA48" i="4"/>
  <c r="AC48" i="4" s="1"/>
  <c r="Z48" i="4"/>
  <c r="AB48" i="4" s="1"/>
  <c r="W48" i="4"/>
  <c r="Y48" i="4" s="1"/>
  <c r="V48" i="4"/>
  <c r="X48" i="4" s="1"/>
  <c r="S48" i="4"/>
  <c r="U48" i="4" s="1"/>
  <c r="R48" i="4"/>
  <c r="T48" i="4" s="1"/>
  <c r="O48" i="4"/>
  <c r="Q48" i="4" s="1"/>
  <c r="N48" i="4"/>
  <c r="P48" i="4" s="1"/>
  <c r="K48" i="4"/>
  <c r="M48" i="4" s="1"/>
  <c r="J48" i="4"/>
  <c r="L48" i="4" s="1"/>
  <c r="G48" i="4"/>
  <c r="I48" i="4" s="1"/>
  <c r="F48" i="4"/>
  <c r="H48" i="4" s="1"/>
  <c r="E48" i="4"/>
  <c r="C48" i="4"/>
  <c r="AY48" i="4" s="1"/>
  <c r="B48" i="4"/>
  <c r="AU47" i="4"/>
  <c r="AQ47" i="4"/>
  <c r="AM47" i="4"/>
  <c r="AI47" i="4"/>
  <c r="AE47" i="4"/>
  <c r="AD47" i="4"/>
  <c r="AA47" i="4"/>
  <c r="Z47" i="4"/>
  <c r="W47" i="4"/>
  <c r="V47" i="4"/>
  <c r="S47" i="4"/>
  <c r="R47" i="4"/>
  <c r="O47" i="4"/>
  <c r="N47" i="4"/>
  <c r="L47" i="4"/>
  <c r="K47" i="4"/>
  <c r="J47" i="4"/>
  <c r="J50" i="4" s="1"/>
  <c r="G47" i="4"/>
  <c r="F47" i="4"/>
  <c r="C47" i="4"/>
  <c r="B47" i="4"/>
  <c r="AY46" i="4"/>
  <c r="BA46" i="4" s="1"/>
  <c r="AX46" i="4"/>
  <c r="AZ46" i="4" s="1"/>
  <c r="AW46" i="4"/>
  <c r="AV46" i="4"/>
  <c r="AS46" i="4"/>
  <c r="AR46" i="4"/>
  <c r="AO46" i="4"/>
  <c r="AN46" i="4"/>
  <c r="AK46" i="4"/>
  <c r="AJ46" i="4"/>
  <c r="AG46" i="4"/>
  <c r="AF46" i="4"/>
  <c r="AC46" i="4"/>
  <c r="AB46" i="4"/>
  <c r="Y46" i="4"/>
  <c r="X46" i="4"/>
  <c r="U46" i="4"/>
  <c r="T46" i="4"/>
  <c r="Q46" i="4"/>
  <c r="P46" i="4"/>
  <c r="M46" i="4"/>
  <c r="L46" i="4"/>
  <c r="I46" i="4"/>
  <c r="H46" i="4"/>
  <c r="E46" i="4"/>
  <c r="D46" i="4"/>
  <c r="AU45" i="4"/>
  <c r="AQ45" i="4"/>
  <c r="AM45" i="4"/>
  <c r="AI45" i="4"/>
  <c r="AE45" i="4"/>
  <c r="AA45" i="4"/>
  <c r="W45" i="4"/>
  <c r="Y45" i="4" s="1"/>
  <c r="V45" i="4"/>
  <c r="X45" i="4" s="1"/>
  <c r="S45" i="4"/>
  <c r="O45" i="4"/>
  <c r="K45" i="4"/>
  <c r="M45" i="4" s="1"/>
  <c r="J45" i="4"/>
  <c r="L45" i="4" s="1"/>
  <c r="G45" i="4"/>
  <c r="C45" i="4"/>
  <c r="B45" i="4"/>
  <c r="AT44" i="4"/>
  <c r="AP44" i="4"/>
  <c r="AL44" i="4"/>
  <c r="AH44" i="4"/>
  <c r="AD44" i="4"/>
  <c r="Z44" i="4"/>
  <c r="V44" i="4"/>
  <c r="R44" i="4"/>
  <c r="N44" i="4"/>
  <c r="J44" i="4"/>
  <c r="F44" i="4"/>
  <c r="AU43" i="4"/>
  <c r="AQ43" i="4"/>
  <c r="AM43" i="4"/>
  <c r="AI43" i="4"/>
  <c r="AE43" i="4"/>
  <c r="AA43" i="4"/>
  <c r="W43" i="4"/>
  <c r="T43" i="4"/>
  <c r="S43" i="4"/>
  <c r="O43" i="4"/>
  <c r="K43" i="4"/>
  <c r="G43" i="4"/>
  <c r="C43" i="4"/>
  <c r="B43" i="4"/>
  <c r="AY42" i="4"/>
  <c r="BA42" i="4" s="1"/>
  <c r="AX42" i="4"/>
  <c r="AZ42" i="4" s="1"/>
  <c r="AW42" i="4"/>
  <c r="AV42" i="4"/>
  <c r="AS42" i="4"/>
  <c r="AR42" i="4"/>
  <c r="AO42" i="4"/>
  <c r="AN42" i="4"/>
  <c r="AK42" i="4"/>
  <c r="AJ42" i="4"/>
  <c r="AG42" i="4"/>
  <c r="AF42" i="4"/>
  <c r="AC42" i="4"/>
  <c r="AB42" i="4"/>
  <c r="Y42" i="4"/>
  <c r="X42" i="4"/>
  <c r="U42" i="4"/>
  <c r="T42" i="4"/>
  <c r="Q42" i="4"/>
  <c r="P42" i="4"/>
  <c r="M42" i="4"/>
  <c r="L42" i="4"/>
  <c r="I42" i="4"/>
  <c r="H42" i="4"/>
  <c r="E42" i="4"/>
  <c r="D42" i="4"/>
  <c r="AU41" i="4"/>
  <c r="AT41" i="4"/>
  <c r="AQ41" i="4"/>
  <c r="AP41" i="4"/>
  <c r="AM41" i="4"/>
  <c r="AL41" i="4"/>
  <c r="AI41" i="4"/>
  <c r="AH41" i="4"/>
  <c r="AE41" i="4"/>
  <c r="AD41" i="4"/>
  <c r="AA41" i="4"/>
  <c r="Z41" i="4"/>
  <c r="W41" i="4"/>
  <c r="V41" i="4"/>
  <c r="S41" i="4"/>
  <c r="R41" i="4"/>
  <c r="O41" i="4"/>
  <c r="N41" i="4"/>
  <c r="K41" i="4"/>
  <c r="J41" i="4"/>
  <c r="AU40" i="4"/>
  <c r="AQ40" i="4"/>
  <c r="AM40" i="4"/>
  <c r="AI40" i="4"/>
  <c r="AE40" i="4"/>
  <c r="AA40" i="4"/>
  <c r="AC40" i="4" s="1"/>
  <c r="Z40" i="4"/>
  <c r="AB40" i="4" s="1"/>
  <c r="W40" i="4"/>
  <c r="Y40" i="4" s="1"/>
  <c r="V40" i="4"/>
  <c r="X40" i="4" s="1"/>
  <c r="S40" i="4"/>
  <c r="U40" i="4" s="1"/>
  <c r="R40" i="4"/>
  <c r="T40" i="4" s="1"/>
  <c r="O40" i="4"/>
  <c r="K40" i="4"/>
  <c r="G40" i="4"/>
  <c r="I40" i="4" s="1"/>
  <c r="F40" i="4"/>
  <c r="H40" i="4" s="1"/>
  <c r="C40" i="4"/>
  <c r="B40" i="4"/>
  <c r="AU39" i="4"/>
  <c r="AQ39" i="4"/>
  <c r="AM39" i="4"/>
  <c r="AI39" i="4"/>
  <c r="AE39" i="4"/>
  <c r="AG39" i="4" s="1"/>
  <c r="AD39" i="4"/>
  <c r="AF39" i="4" s="1"/>
  <c r="AA39" i="4"/>
  <c r="AC39" i="4" s="1"/>
  <c r="Z39" i="4"/>
  <c r="AB39" i="4" s="1"/>
  <c r="W39" i="4"/>
  <c r="Y39" i="4" s="1"/>
  <c r="V39" i="4"/>
  <c r="X39" i="4" s="1"/>
  <c r="S39" i="4"/>
  <c r="U39" i="4" s="1"/>
  <c r="R39" i="4"/>
  <c r="T39" i="4" s="1"/>
  <c r="O39" i="4"/>
  <c r="Q39" i="4" s="1"/>
  <c r="N39" i="4"/>
  <c r="P39" i="4" s="1"/>
  <c r="K39" i="4"/>
  <c r="M39" i="4" s="1"/>
  <c r="J39" i="4"/>
  <c r="L39" i="4" s="1"/>
  <c r="G39" i="4"/>
  <c r="I39" i="4" s="1"/>
  <c r="F39" i="4"/>
  <c r="H39" i="4" s="1"/>
  <c r="C39" i="4"/>
  <c r="B39" i="4"/>
  <c r="AU38" i="4"/>
  <c r="AQ38" i="4"/>
  <c r="AM38" i="4"/>
  <c r="AI38" i="4"/>
  <c r="AE38" i="4"/>
  <c r="AG38" i="4" s="1"/>
  <c r="AD38" i="4"/>
  <c r="AF38" i="4" s="1"/>
  <c r="AA38" i="4"/>
  <c r="AC38" i="4" s="1"/>
  <c r="Z38" i="4"/>
  <c r="AB38" i="4" s="1"/>
  <c r="W38" i="4"/>
  <c r="S38" i="4"/>
  <c r="O38" i="4"/>
  <c r="Q38" i="4" s="1"/>
  <c r="N38" i="4"/>
  <c r="P38" i="4" s="1"/>
  <c r="K38" i="4"/>
  <c r="M38" i="4" s="1"/>
  <c r="J38" i="4"/>
  <c r="L38" i="4" s="1"/>
  <c r="G38" i="4"/>
  <c r="C38" i="4"/>
  <c r="B38" i="4"/>
  <c r="AU37" i="4"/>
  <c r="AQ37" i="4"/>
  <c r="AM37" i="4"/>
  <c r="AI37" i="4"/>
  <c r="AE37" i="4"/>
  <c r="AG37" i="4" s="1"/>
  <c r="AD37" i="4"/>
  <c r="AF37" i="4" s="1"/>
  <c r="AA37" i="4"/>
  <c r="AC37" i="4" s="1"/>
  <c r="Z37" i="4"/>
  <c r="AB37" i="4" s="1"/>
  <c r="W37" i="4"/>
  <c r="Y37" i="4" s="1"/>
  <c r="V37" i="4"/>
  <c r="X37" i="4" s="1"/>
  <c r="S37" i="4"/>
  <c r="U37" i="4" s="1"/>
  <c r="R37" i="4"/>
  <c r="T37" i="4" s="1"/>
  <c r="O37" i="4"/>
  <c r="Q37" i="4" s="1"/>
  <c r="N37" i="4"/>
  <c r="P37" i="4" s="1"/>
  <c r="K37" i="4"/>
  <c r="M37" i="4" s="1"/>
  <c r="J37" i="4"/>
  <c r="L37" i="4" s="1"/>
  <c r="G37" i="4"/>
  <c r="F37" i="4"/>
  <c r="C37" i="4"/>
  <c r="B37" i="4"/>
  <c r="AY36" i="4"/>
  <c r="BA36" i="4" s="1"/>
  <c r="AX36" i="4"/>
  <c r="AZ36" i="4" s="1"/>
  <c r="AW36" i="4"/>
  <c r="AV36" i="4"/>
  <c r="AS36" i="4"/>
  <c r="AR36" i="4"/>
  <c r="AO36" i="4"/>
  <c r="AN36" i="4"/>
  <c r="AK36" i="4"/>
  <c r="AJ36" i="4"/>
  <c r="AG36" i="4"/>
  <c r="AF36" i="4"/>
  <c r="AC36" i="4"/>
  <c r="AB36" i="4"/>
  <c r="Y36" i="4"/>
  <c r="X36" i="4"/>
  <c r="U36" i="4"/>
  <c r="T36" i="4"/>
  <c r="Q36" i="4"/>
  <c r="P36" i="4"/>
  <c r="M36" i="4"/>
  <c r="L36" i="4"/>
  <c r="I36" i="4"/>
  <c r="H36" i="4"/>
  <c r="E36" i="4"/>
  <c r="D36" i="4"/>
  <c r="AY35" i="4"/>
  <c r="BA35" i="4" s="1"/>
  <c r="AX35" i="4"/>
  <c r="AZ35" i="4" s="1"/>
  <c r="AW35" i="4"/>
  <c r="AV35" i="4"/>
  <c r="AS35" i="4"/>
  <c r="AR35" i="4"/>
  <c r="AO35" i="4"/>
  <c r="AN35" i="4"/>
  <c r="AK35" i="4"/>
  <c r="AJ35" i="4"/>
  <c r="AG35" i="4"/>
  <c r="AF35" i="4"/>
  <c r="AC35" i="4"/>
  <c r="AB35" i="4"/>
  <c r="Y35" i="4"/>
  <c r="X35" i="4"/>
  <c r="U35" i="4"/>
  <c r="T35" i="4"/>
  <c r="Q35" i="4"/>
  <c r="P35" i="4"/>
  <c r="M35" i="4"/>
  <c r="L35" i="4"/>
  <c r="I35" i="4"/>
  <c r="H35" i="4"/>
  <c r="E35" i="4"/>
  <c r="D35" i="4"/>
  <c r="AY34" i="4"/>
  <c r="BA34" i="4" s="1"/>
  <c r="AW34" i="4"/>
  <c r="AV34" i="4"/>
  <c r="AS34" i="4"/>
  <c r="AR34" i="4"/>
  <c r="AO34" i="4"/>
  <c r="AN34" i="4"/>
  <c r="AK34" i="4"/>
  <c r="AJ34" i="4"/>
  <c r="AG34" i="4"/>
  <c r="AD34" i="4"/>
  <c r="AF34" i="4" s="1"/>
  <c r="AC34" i="4"/>
  <c r="Z34" i="4"/>
  <c r="AB34" i="4" s="1"/>
  <c r="Y34" i="4"/>
  <c r="V34" i="4"/>
  <c r="X34" i="4" s="1"/>
  <c r="U34" i="4"/>
  <c r="R34" i="4"/>
  <c r="T34" i="4" s="1"/>
  <c r="Q34" i="4"/>
  <c r="N34" i="4"/>
  <c r="P34" i="4" s="1"/>
  <c r="M34" i="4"/>
  <c r="J34" i="4"/>
  <c r="L34" i="4" s="1"/>
  <c r="I34" i="4"/>
  <c r="F34" i="4"/>
  <c r="H34" i="4" s="1"/>
  <c r="E34" i="4"/>
  <c r="B34" i="4"/>
  <c r="AU33" i="4"/>
  <c r="AQ33" i="4"/>
  <c r="AM33" i="4"/>
  <c r="AI33" i="4"/>
  <c r="AE33" i="4"/>
  <c r="AA33" i="4"/>
  <c r="AC33" i="4" s="1"/>
  <c r="Z33" i="4"/>
  <c r="AB33" i="4" s="1"/>
  <c r="W33" i="4"/>
  <c r="Y33" i="4" s="1"/>
  <c r="V33" i="4"/>
  <c r="X33" i="4" s="1"/>
  <c r="S33" i="4"/>
  <c r="O33" i="4"/>
  <c r="K33" i="4"/>
  <c r="M33" i="4" s="1"/>
  <c r="J33" i="4"/>
  <c r="G33" i="4"/>
  <c r="C33" i="4"/>
  <c r="AU32" i="4"/>
  <c r="AQ32" i="4"/>
  <c r="AM32" i="4"/>
  <c r="AI32" i="4"/>
  <c r="AE32" i="4"/>
  <c r="AG32" i="4" s="1"/>
  <c r="AD32" i="4"/>
  <c r="AF32" i="4" s="1"/>
  <c r="AA32" i="4"/>
  <c r="AC32" i="4" s="1"/>
  <c r="Z32" i="4"/>
  <c r="AB32" i="4" s="1"/>
  <c r="W32" i="4"/>
  <c r="Y32" i="4" s="1"/>
  <c r="V32" i="4"/>
  <c r="X32" i="4" s="1"/>
  <c r="S32" i="4"/>
  <c r="U32" i="4" s="1"/>
  <c r="R32" i="4"/>
  <c r="T32" i="4" s="1"/>
  <c r="O32" i="4"/>
  <c r="K32" i="4"/>
  <c r="M32" i="4" s="1"/>
  <c r="J32" i="4"/>
  <c r="G32" i="4"/>
  <c r="C32" i="4"/>
  <c r="AU31" i="4"/>
  <c r="AQ31" i="4"/>
  <c r="AM31" i="4"/>
  <c r="AI31" i="4"/>
  <c r="AE31" i="4"/>
  <c r="AG31" i="4" s="1"/>
  <c r="AD31" i="4"/>
  <c r="AF31" i="4" s="1"/>
  <c r="AA31" i="4"/>
  <c r="AC31" i="4" s="1"/>
  <c r="Z31" i="4"/>
  <c r="AB31" i="4" s="1"/>
  <c r="W31" i="4"/>
  <c r="Y31" i="4" s="1"/>
  <c r="V31" i="4"/>
  <c r="X31" i="4" s="1"/>
  <c r="S31" i="4"/>
  <c r="U31" i="4" s="1"/>
  <c r="R31" i="4"/>
  <c r="T31" i="4" s="1"/>
  <c r="O31" i="4"/>
  <c r="Q31" i="4" s="1"/>
  <c r="N31" i="4"/>
  <c r="P31" i="4" s="1"/>
  <c r="K31" i="4"/>
  <c r="M31" i="4" s="1"/>
  <c r="J31" i="4"/>
  <c r="L31" i="4" s="1"/>
  <c r="G31" i="4"/>
  <c r="I31" i="4" s="1"/>
  <c r="F31" i="4"/>
  <c r="H31" i="4" s="1"/>
  <c r="C31" i="4"/>
  <c r="B31" i="4"/>
  <c r="AY30" i="4"/>
  <c r="BA30" i="4" s="1"/>
  <c r="AW30" i="4"/>
  <c r="AV30" i="4"/>
  <c r="AS30" i="4"/>
  <c r="AR30" i="4"/>
  <c r="AO30" i="4"/>
  <c r="AN30" i="4"/>
  <c r="AK30" i="4"/>
  <c r="AJ30" i="4"/>
  <c r="AG30" i="4"/>
  <c r="AD30" i="4"/>
  <c r="AF30" i="4" s="1"/>
  <c r="AC30" i="4"/>
  <c r="Z30" i="4"/>
  <c r="AB30" i="4" s="1"/>
  <c r="Y30" i="4"/>
  <c r="V30" i="4"/>
  <c r="X30" i="4" s="1"/>
  <c r="U30" i="4"/>
  <c r="R30" i="4"/>
  <c r="T30" i="4" s="1"/>
  <c r="Q30" i="4"/>
  <c r="N30" i="4"/>
  <c r="M30" i="4"/>
  <c r="L30" i="4"/>
  <c r="I30" i="4"/>
  <c r="H30" i="4"/>
  <c r="E30" i="4"/>
  <c r="D30" i="4"/>
  <c r="AT29" i="4"/>
  <c r="AP29" i="4"/>
  <c r="AL29" i="4"/>
  <c r="AU28" i="4"/>
  <c r="AQ28" i="4"/>
  <c r="AM28" i="4"/>
  <c r="AI28" i="4"/>
  <c r="AK28" i="4" s="1"/>
  <c r="AH28" i="4"/>
  <c r="AJ28" i="4" s="1"/>
  <c r="AE28" i="4"/>
  <c r="AG28" i="4" s="1"/>
  <c r="AD28" i="4"/>
  <c r="AF28" i="4" s="1"/>
  <c r="AA28" i="4"/>
  <c r="AC28" i="4" s="1"/>
  <c r="Z28" i="4"/>
  <c r="AB28" i="4" s="1"/>
  <c r="W28" i="4"/>
  <c r="Y28" i="4" s="1"/>
  <c r="V28" i="4"/>
  <c r="X28" i="4" s="1"/>
  <c r="S28" i="4"/>
  <c r="U28" i="4" s="1"/>
  <c r="R28" i="4"/>
  <c r="T28" i="4" s="1"/>
  <c r="O28" i="4"/>
  <c r="Q28" i="4" s="1"/>
  <c r="N28" i="4"/>
  <c r="P28" i="4" s="1"/>
  <c r="K28" i="4"/>
  <c r="M28" i="4" s="1"/>
  <c r="J28" i="4"/>
  <c r="L28" i="4" s="1"/>
  <c r="G28" i="4"/>
  <c r="I28" i="4" s="1"/>
  <c r="F28" i="4"/>
  <c r="H28" i="4" s="1"/>
  <c r="C28" i="4"/>
  <c r="B28" i="4"/>
  <c r="AU27" i="4"/>
  <c r="AQ27" i="4"/>
  <c r="AM27" i="4"/>
  <c r="AI27" i="4"/>
  <c r="AH27" i="4"/>
  <c r="AE27" i="4"/>
  <c r="AD27" i="4"/>
  <c r="AA27" i="4"/>
  <c r="Z27" i="4"/>
  <c r="W27" i="4"/>
  <c r="V27" i="4"/>
  <c r="S27" i="4"/>
  <c r="R27" i="4"/>
  <c r="O27" i="4"/>
  <c r="N27" i="4"/>
  <c r="K27" i="4"/>
  <c r="J27" i="4"/>
  <c r="G27" i="4"/>
  <c r="F27" i="4"/>
  <c r="C27" i="4"/>
  <c r="B27" i="4"/>
  <c r="AY26" i="4"/>
  <c r="BA26" i="4" s="1"/>
  <c r="AX26" i="4"/>
  <c r="AZ26" i="4" s="1"/>
  <c r="AW26" i="4"/>
  <c r="AV26" i="4"/>
  <c r="AS26" i="4"/>
  <c r="AR26" i="4"/>
  <c r="AO26" i="4"/>
  <c r="AN26" i="4"/>
  <c r="AK26" i="4"/>
  <c r="AJ26" i="4"/>
  <c r="AG26" i="4"/>
  <c r="AF26" i="4"/>
  <c r="AC26" i="4"/>
  <c r="AB26" i="4"/>
  <c r="Y26" i="4"/>
  <c r="X26" i="4"/>
  <c r="U26" i="4"/>
  <c r="T26" i="4"/>
  <c r="Q26" i="4"/>
  <c r="P26" i="4"/>
  <c r="M26" i="4"/>
  <c r="L26" i="4"/>
  <c r="I26" i="4"/>
  <c r="H26" i="4"/>
  <c r="E26" i="4"/>
  <c r="D26" i="4"/>
  <c r="AT25" i="4"/>
  <c r="AP25" i="4"/>
  <c r="AL25" i="4"/>
  <c r="AX24" i="4"/>
  <c r="AU24" i="4"/>
  <c r="AQ24" i="4"/>
  <c r="AM24" i="4"/>
  <c r="AI24" i="4"/>
  <c r="AE24" i="4"/>
  <c r="AA24" i="4"/>
  <c r="W24" i="4"/>
  <c r="S24" i="4"/>
  <c r="O24" i="4"/>
  <c r="K24" i="4"/>
  <c r="G24" i="4"/>
  <c r="C24" i="4"/>
  <c r="AX23" i="4"/>
  <c r="AU23" i="4"/>
  <c r="AQ23" i="4"/>
  <c r="AM23" i="4"/>
  <c r="AI23" i="4"/>
  <c r="AE23" i="4"/>
  <c r="AA23" i="4"/>
  <c r="W23" i="4"/>
  <c r="S23" i="4"/>
  <c r="O23" i="4"/>
  <c r="K23" i="4"/>
  <c r="G23" i="4"/>
  <c r="C23" i="4"/>
  <c r="AU22" i="4"/>
  <c r="AQ22" i="4"/>
  <c r="AM22" i="4"/>
  <c r="AI22" i="4"/>
  <c r="AH22" i="4"/>
  <c r="AJ22" i="4" s="1"/>
  <c r="AE22" i="4"/>
  <c r="AD22" i="4"/>
  <c r="AF22" i="4" s="1"/>
  <c r="AA22" i="4"/>
  <c r="Z22" i="4"/>
  <c r="AB22" i="4" s="1"/>
  <c r="W22" i="4"/>
  <c r="V22" i="4"/>
  <c r="X22" i="4" s="1"/>
  <c r="S22" i="4"/>
  <c r="R22" i="4"/>
  <c r="T22" i="4" s="1"/>
  <c r="O22" i="4"/>
  <c r="N22" i="4"/>
  <c r="P22" i="4" s="1"/>
  <c r="K22" i="4"/>
  <c r="J22" i="4"/>
  <c r="L22" i="4" s="1"/>
  <c r="G22" i="4"/>
  <c r="F22" i="4"/>
  <c r="H22" i="4" s="1"/>
  <c r="C22" i="4"/>
  <c r="B22" i="4"/>
  <c r="AY21" i="4"/>
  <c r="BA21" i="4" s="1"/>
  <c r="AW21" i="4"/>
  <c r="AV21" i="4"/>
  <c r="AS21" i="4"/>
  <c r="AR21" i="4"/>
  <c r="AO21" i="4"/>
  <c r="AN21" i="4"/>
  <c r="AK21" i="4"/>
  <c r="AH21" i="4"/>
  <c r="AG21" i="4"/>
  <c r="AD21" i="4"/>
  <c r="AC21" i="4"/>
  <c r="Z21" i="4"/>
  <c r="Y21" i="4"/>
  <c r="V21" i="4"/>
  <c r="U21" i="4"/>
  <c r="R21" i="4"/>
  <c r="Q21" i="4"/>
  <c r="N21" i="4"/>
  <c r="M21" i="4"/>
  <c r="J21" i="4"/>
  <c r="I21" i="4"/>
  <c r="F21" i="4"/>
  <c r="E21" i="4"/>
  <c r="B21" i="4"/>
  <c r="AY20" i="4"/>
  <c r="BA20" i="4" s="1"/>
  <c r="AX20" i="4"/>
  <c r="AZ20" i="4" s="1"/>
  <c r="AW20" i="4"/>
  <c r="AV20" i="4"/>
  <c r="AS20" i="4"/>
  <c r="AR20" i="4"/>
  <c r="AO20" i="4"/>
  <c r="AN20" i="4"/>
  <c r="AK20" i="4"/>
  <c r="AJ20" i="4"/>
  <c r="AG20" i="4"/>
  <c r="AF20" i="4"/>
  <c r="AC20" i="4"/>
  <c r="AB20" i="4"/>
  <c r="Y20" i="4"/>
  <c r="X20" i="4"/>
  <c r="U20" i="4"/>
  <c r="T20" i="4"/>
  <c r="Q20" i="4"/>
  <c r="P20" i="4"/>
  <c r="M20" i="4"/>
  <c r="L20" i="4"/>
  <c r="I20" i="4"/>
  <c r="H20" i="4"/>
  <c r="E20" i="4"/>
  <c r="D20" i="4"/>
  <c r="AU16" i="4"/>
  <c r="AQ16" i="4"/>
  <c r="AM16" i="4"/>
  <c r="AI16" i="4"/>
  <c r="AE16" i="4"/>
  <c r="AG16" i="4" s="1"/>
  <c r="AD16" i="4"/>
  <c r="AF16" i="4" s="1"/>
  <c r="AA16" i="4"/>
  <c r="AC16" i="4" s="1"/>
  <c r="Z16" i="4"/>
  <c r="AB16" i="4" s="1"/>
  <c r="W16" i="4"/>
  <c r="Y16" i="4" s="1"/>
  <c r="V16" i="4"/>
  <c r="X16" i="4" s="1"/>
  <c r="S16" i="4"/>
  <c r="U16" i="4" s="1"/>
  <c r="R16" i="4"/>
  <c r="T16" i="4" s="1"/>
  <c r="O16" i="4"/>
  <c r="Q16" i="4" s="1"/>
  <c r="N16" i="4"/>
  <c r="P16" i="4" s="1"/>
  <c r="K16" i="4"/>
  <c r="M16" i="4" s="1"/>
  <c r="J16" i="4"/>
  <c r="L16" i="4" s="1"/>
  <c r="G16" i="4"/>
  <c r="I16" i="4" s="1"/>
  <c r="F16" i="4"/>
  <c r="H16" i="4" s="1"/>
  <c r="C16" i="4"/>
  <c r="B16" i="4"/>
  <c r="AU15" i="4"/>
  <c r="AQ15" i="4"/>
  <c r="AM15" i="4"/>
  <c r="AI15" i="4"/>
  <c r="AE15" i="4"/>
  <c r="AG15" i="4" s="1"/>
  <c r="AD15" i="4"/>
  <c r="AF15" i="4" s="1"/>
  <c r="AA15" i="4"/>
  <c r="AC15" i="4" s="1"/>
  <c r="Z15" i="4"/>
  <c r="AB15" i="4" s="1"/>
  <c r="W15" i="4"/>
  <c r="Y15" i="4" s="1"/>
  <c r="V15" i="4"/>
  <c r="X15" i="4" s="1"/>
  <c r="S15" i="4"/>
  <c r="U15" i="4" s="1"/>
  <c r="R15" i="4"/>
  <c r="T15" i="4" s="1"/>
  <c r="O15" i="4"/>
  <c r="Q15" i="4" s="1"/>
  <c r="N15" i="4"/>
  <c r="P15" i="4" s="1"/>
  <c r="K15" i="4"/>
  <c r="M15" i="4" s="1"/>
  <c r="J15" i="4"/>
  <c r="L15" i="4" s="1"/>
  <c r="G15" i="4"/>
  <c r="I15" i="4" s="1"/>
  <c r="F15" i="4"/>
  <c r="H15" i="4" s="1"/>
  <c r="C15" i="4"/>
  <c r="B15" i="4"/>
  <c r="AU14" i="4"/>
  <c r="AQ14" i="4"/>
  <c r="AM14" i="4"/>
  <c r="AI14" i="4"/>
  <c r="AE14" i="4"/>
  <c r="AG14" i="4" s="1"/>
  <c r="AD14" i="4"/>
  <c r="AF14" i="4" s="1"/>
  <c r="AA14" i="4"/>
  <c r="AC14" i="4" s="1"/>
  <c r="Z14" i="4"/>
  <c r="AB14" i="4" s="1"/>
  <c r="W14" i="4"/>
  <c r="Y14" i="4" s="1"/>
  <c r="V14" i="4"/>
  <c r="X14" i="4" s="1"/>
  <c r="S14" i="4"/>
  <c r="U14" i="4" s="1"/>
  <c r="R14" i="4"/>
  <c r="T14" i="4" s="1"/>
  <c r="O14" i="4"/>
  <c r="Q14" i="4" s="1"/>
  <c r="N14" i="4"/>
  <c r="P14" i="4" s="1"/>
  <c r="K14" i="4"/>
  <c r="M14" i="4" s="1"/>
  <c r="J14" i="4"/>
  <c r="L14" i="4" s="1"/>
  <c r="G14" i="4"/>
  <c r="I14" i="4" s="1"/>
  <c r="F14" i="4"/>
  <c r="H14" i="4" s="1"/>
  <c r="C14" i="4"/>
  <c r="B14" i="4"/>
  <c r="AU13" i="4"/>
  <c r="AQ13" i="4"/>
  <c r="AM13" i="4"/>
  <c r="AI13" i="4"/>
  <c r="AE13" i="4"/>
  <c r="AA13" i="4"/>
  <c r="W13" i="4"/>
  <c r="Y13" i="4" s="1"/>
  <c r="V13" i="4"/>
  <c r="X13" i="4" s="1"/>
  <c r="S13" i="4"/>
  <c r="U13" i="4" s="1"/>
  <c r="R13" i="4"/>
  <c r="T13" i="4" s="1"/>
  <c r="O13" i="4"/>
  <c r="Q13" i="4" s="1"/>
  <c r="N13" i="4"/>
  <c r="P13" i="4" s="1"/>
  <c r="K13" i="4"/>
  <c r="M13" i="4" s="1"/>
  <c r="J13" i="4"/>
  <c r="L13" i="4" s="1"/>
  <c r="G13" i="4"/>
  <c r="I13" i="4" s="1"/>
  <c r="F13" i="4"/>
  <c r="H13" i="4" s="1"/>
  <c r="C13" i="4"/>
  <c r="B13" i="4"/>
  <c r="AU12" i="4"/>
  <c r="AQ12" i="4"/>
  <c r="AM12" i="4"/>
  <c r="AI12" i="4"/>
  <c r="AE12" i="4"/>
  <c r="AG12" i="4" s="1"/>
  <c r="AD12" i="4"/>
  <c r="AF12" i="4" s="1"/>
  <c r="AA12" i="4"/>
  <c r="AC12" i="4" s="1"/>
  <c r="Z12" i="4"/>
  <c r="AB12" i="4" s="1"/>
  <c r="W12" i="4"/>
  <c r="Y12" i="4" s="1"/>
  <c r="V12" i="4"/>
  <c r="X12" i="4" s="1"/>
  <c r="S12" i="4"/>
  <c r="U12" i="4" s="1"/>
  <c r="R12" i="4"/>
  <c r="T12" i="4" s="1"/>
  <c r="O12" i="4"/>
  <c r="Q12" i="4" s="1"/>
  <c r="N12" i="4"/>
  <c r="P12" i="4" s="1"/>
  <c r="K12" i="4"/>
  <c r="M12" i="4" s="1"/>
  <c r="J12" i="4"/>
  <c r="L12" i="4" s="1"/>
  <c r="G12" i="4"/>
  <c r="I12" i="4" s="1"/>
  <c r="F12" i="4"/>
  <c r="H12" i="4" s="1"/>
  <c r="C12" i="4"/>
  <c r="B12" i="4"/>
  <c r="AT11" i="4"/>
  <c r="AP11" i="4"/>
  <c r="AL11" i="4"/>
  <c r="AH11" i="4"/>
  <c r="AD11" i="4"/>
  <c r="Z11" i="4"/>
  <c r="V11" i="4"/>
  <c r="J11" i="4"/>
  <c r="B11" i="4"/>
  <c r="AU10" i="4"/>
  <c r="AQ10" i="4"/>
  <c r="AM10" i="4"/>
  <c r="AI10" i="4"/>
  <c r="AE10" i="4"/>
  <c r="AA10" i="4"/>
  <c r="W10" i="4"/>
  <c r="S10" i="4"/>
  <c r="O10" i="4"/>
  <c r="Q10" i="4" s="1"/>
  <c r="N10" i="4"/>
  <c r="K10" i="4"/>
  <c r="G10" i="4"/>
  <c r="I10" i="4" s="1"/>
  <c r="F10" i="4"/>
  <c r="C10" i="4"/>
  <c r="AU9" i="4"/>
  <c r="AQ9" i="4"/>
  <c r="AM9" i="4"/>
  <c r="AI9" i="4"/>
  <c r="AE9" i="4"/>
  <c r="AA9" i="4"/>
  <c r="W9" i="4"/>
  <c r="S9" i="4"/>
  <c r="R9" i="4"/>
  <c r="O9" i="4"/>
  <c r="K9" i="4"/>
  <c r="G9" i="4"/>
  <c r="C9" i="4"/>
  <c r="AY8" i="4"/>
  <c r="BA8" i="4" s="1"/>
  <c r="AX8" i="4"/>
  <c r="AZ8" i="4" s="1"/>
  <c r="AW8" i="4"/>
  <c r="AV8" i="4"/>
  <c r="AS8" i="4"/>
  <c r="AR8" i="4"/>
  <c r="AO8" i="4"/>
  <c r="AN8" i="4"/>
  <c r="AK8" i="4"/>
  <c r="AJ8" i="4"/>
  <c r="AG8" i="4"/>
  <c r="AF8" i="4"/>
  <c r="AC8" i="4"/>
  <c r="AB8" i="4"/>
  <c r="Y8" i="4"/>
  <c r="X8" i="4"/>
  <c r="U8" i="4"/>
  <c r="T8" i="4"/>
  <c r="Q8" i="4"/>
  <c r="P8" i="4"/>
  <c r="M8" i="4"/>
  <c r="L8" i="4"/>
  <c r="I8" i="4"/>
  <c r="H8" i="4"/>
  <c r="E8" i="4"/>
  <c r="D8" i="4"/>
  <c r="B65" i="3"/>
  <c r="B54" i="3"/>
  <c r="B46" i="3"/>
  <c r="B50" i="3" s="1"/>
  <c r="B39" i="3"/>
  <c r="B51" i="3" s="1"/>
  <c r="B55" i="3" s="1"/>
  <c r="B66" i="3" s="1"/>
  <c r="B32" i="3"/>
  <c r="B29" i="3"/>
  <c r="B24" i="3"/>
  <c r="B18" i="3"/>
  <c r="B13" i="3"/>
  <c r="B15" i="3" s="1"/>
  <c r="B25" i="3" s="1"/>
  <c r="B33" i="3" s="1"/>
  <c r="G35" i="2"/>
  <c r="H35" i="2" s="1"/>
  <c r="F35" i="2"/>
  <c r="D35" i="2"/>
  <c r="G33" i="2"/>
  <c r="H33" i="2" s="1"/>
  <c r="F33" i="2"/>
  <c r="D33" i="2"/>
  <c r="G32" i="2"/>
  <c r="H32" i="2" s="1"/>
  <c r="F32" i="2"/>
  <c r="D32" i="2"/>
  <c r="G31" i="2"/>
  <c r="H31" i="2" s="1"/>
  <c r="F31" i="2"/>
  <c r="D31" i="2"/>
  <c r="F28" i="2"/>
  <c r="D28" i="2"/>
  <c r="G27" i="2"/>
  <c r="H27" i="2" s="1"/>
  <c r="F27" i="2"/>
  <c r="D27" i="2"/>
  <c r="G26" i="2"/>
  <c r="F26" i="2"/>
  <c r="D26" i="2"/>
  <c r="G23" i="2"/>
  <c r="H23" i="2" s="1"/>
  <c r="F23" i="2"/>
  <c r="D23" i="2"/>
  <c r="G22" i="2"/>
  <c r="H22" i="2" s="1"/>
  <c r="F22" i="2"/>
  <c r="D22" i="2"/>
  <c r="G21" i="2"/>
  <c r="H21" i="2" s="1"/>
  <c r="F21" i="2"/>
  <c r="D21" i="2"/>
  <c r="H20" i="2"/>
  <c r="G20" i="2"/>
  <c r="F20" i="2"/>
  <c r="D20" i="2"/>
  <c r="G17" i="2"/>
  <c r="H17" i="2" s="1"/>
  <c r="F17" i="2"/>
  <c r="D17" i="2"/>
  <c r="G16" i="2"/>
  <c r="H16" i="2" s="1"/>
  <c r="F16" i="2"/>
  <c r="D16" i="2"/>
  <c r="G13" i="2"/>
  <c r="H13" i="2" s="1"/>
  <c r="F13" i="2"/>
  <c r="D13" i="2"/>
  <c r="G12" i="2"/>
  <c r="H12" i="2" s="1"/>
  <c r="F12" i="2"/>
  <c r="D12" i="2"/>
  <c r="G10" i="2"/>
  <c r="H10" i="2" s="1"/>
  <c r="F10" i="2"/>
  <c r="D10" i="2"/>
  <c r="G9" i="2"/>
  <c r="H9" i="2" s="1"/>
  <c r="F9" i="2"/>
  <c r="D9" i="2"/>
  <c r="G8" i="2"/>
  <c r="H8" i="2" s="1"/>
  <c r="F8" i="2"/>
  <c r="D8" i="2"/>
  <c r="G7" i="2"/>
  <c r="H7" i="2" s="1"/>
  <c r="F7" i="2"/>
  <c r="D7" i="2"/>
  <c r="G6" i="2"/>
  <c r="H6" i="2" s="1"/>
  <c r="F6" i="2"/>
  <c r="D6" i="2"/>
  <c r="G5" i="2"/>
  <c r="H5" i="2" s="1"/>
  <c r="F5" i="2"/>
  <c r="G4" i="2"/>
  <c r="H4" i="2" s="1"/>
  <c r="F4" i="2"/>
  <c r="D4" i="2"/>
  <c r="AW98" i="4" l="1"/>
  <c r="AV98" i="4"/>
  <c r="AS98" i="4"/>
  <c r="AR98" i="4"/>
  <c r="AO98" i="4"/>
  <c r="AN98" i="4"/>
  <c r="AJ98" i="4"/>
  <c r="AK98" i="4"/>
  <c r="E98" i="4"/>
  <c r="AY98" i="4"/>
  <c r="AX98" i="4"/>
  <c r="AZ98" i="4" s="1"/>
  <c r="D98" i="4"/>
  <c r="AW97" i="4"/>
  <c r="AV97" i="4"/>
  <c r="AR97" i="4"/>
  <c r="AS97" i="4"/>
  <c r="AO97" i="4"/>
  <c r="AN97" i="4"/>
  <c r="AK97" i="4"/>
  <c r="AJ97" i="4"/>
  <c r="Q97" i="4"/>
  <c r="O99" i="4"/>
  <c r="P97" i="4"/>
  <c r="N99" i="4"/>
  <c r="P99" i="4" s="1"/>
  <c r="K99" i="4"/>
  <c r="M97" i="4"/>
  <c r="J99" i="4"/>
  <c r="L99" i="4" s="1"/>
  <c r="L97" i="4"/>
  <c r="G99" i="4"/>
  <c r="I97" i="4"/>
  <c r="F99" i="4"/>
  <c r="H99" i="4" s="1"/>
  <c r="H97" i="4"/>
  <c r="E97" i="4"/>
  <c r="C99" i="4"/>
  <c r="AY97" i="4"/>
  <c r="AX97" i="4"/>
  <c r="AZ97" i="4" s="1"/>
  <c r="B99" i="4"/>
  <c r="D97" i="4"/>
  <c r="AV96" i="4"/>
  <c r="AW96" i="4"/>
  <c r="AU99" i="4"/>
  <c r="AQ99" i="4"/>
  <c r="AR96" i="4"/>
  <c r="AS96" i="4"/>
  <c r="AO96" i="4"/>
  <c r="AM99" i="4"/>
  <c r="AN96" i="4"/>
  <c r="AI99" i="4"/>
  <c r="AK96" i="4"/>
  <c r="AJ96" i="4"/>
  <c r="AE99" i="4"/>
  <c r="AG96" i="4"/>
  <c r="AD99" i="4"/>
  <c r="AF99" i="4" s="1"/>
  <c r="AF96" i="4"/>
  <c r="AA99" i="4"/>
  <c r="AC96" i="4"/>
  <c r="Z99" i="4"/>
  <c r="AB99" i="4" s="1"/>
  <c r="AB96" i="4"/>
  <c r="W99" i="4"/>
  <c r="Y96" i="4"/>
  <c r="V99" i="4"/>
  <c r="X99" i="4" s="1"/>
  <c r="X96" i="4"/>
  <c r="S99" i="4"/>
  <c r="U96" i="4"/>
  <c r="AY96" i="4"/>
  <c r="R99" i="4"/>
  <c r="T99" i="4" s="1"/>
  <c r="AX96" i="4"/>
  <c r="AZ96" i="4" s="1"/>
  <c r="T96" i="4"/>
  <c r="E96" i="4"/>
  <c r="D96" i="4"/>
  <c r="AW95" i="4"/>
  <c r="AV95" i="4"/>
  <c r="AS95" i="4"/>
  <c r="AR95" i="4"/>
  <c r="AO95" i="4"/>
  <c r="AN95" i="4"/>
  <c r="AK95" i="4"/>
  <c r="AJ95" i="4"/>
  <c r="AY95" i="4"/>
  <c r="E95" i="4"/>
  <c r="AX95" i="4"/>
  <c r="AZ95" i="4" s="1"/>
  <c r="D95" i="4"/>
  <c r="AW92" i="4"/>
  <c r="AV92" i="4"/>
  <c r="AS92" i="4"/>
  <c r="AR92" i="4"/>
  <c r="AO92" i="4"/>
  <c r="AN92" i="4"/>
  <c r="AK92" i="4"/>
  <c r="AJ92" i="4"/>
  <c r="AD93" i="4"/>
  <c r="AF92" i="4"/>
  <c r="X92" i="4"/>
  <c r="V93" i="4"/>
  <c r="T92" i="4"/>
  <c r="R93" i="4"/>
  <c r="L92" i="4"/>
  <c r="J93" i="4"/>
  <c r="E92" i="4"/>
  <c r="AY92" i="4"/>
  <c r="D92" i="4"/>
  <c r="AX92" i="4"/>
  <c r="AZ92" i="4" s="1"/>
  <c r="AW91" i="4"/>
  <c r="AV91" i="4"/>
  <c r="AS91" i="4"/>
  <c r="AR91" i="4"/>
  <c r="AO91" i="4"/>
  <c r="AN91" i="4"/>
  <c r="AK91" i="4"/>
  <c r="AJ91" i="4"/>
  <c r="AG91" i="4"/>
  <c r="AF91" i="4"/>
  <c r="X91" i="4"/>
  <c r="Y91" i="4"/>
  <c r="U91" i="4"/>
  <c r="T91" i="4"/>
  <c r="P91" i="4"/>
  <c r="Q91" i="4"/>
  <c r="L91" i="4"/>
  <c r="M91" i="4"/>
  <c r="AX91" i="4"/>
  <c r="H91" i="4"/>
  <c r="AY91" i="4"/>
  <c r="BA91" i="4" s="1"/>
  <c r="D91" i="4"/>
  <c r="E91" i="4"/>
  <c r="AW90" i="4"/>
  <c r="AV90" i="4"/>
  <c r="AR90" i="4"/>
  <c r="AS90" i="4"/>
  <c r="AO90" i="4"/>
  <c r="AN90" i="4"/>
  <c r="AJ90" i="4"/>
  <c r="AK90" i="4"/>
  <c r="AG90" i="4"/>
  <c r="AF90" i="4"/>
  <c r="AC90" i="4"/>
  <c r="AB90" i="4"/>
  <c r="X90" i="4"/>
  <c r="Y90" i="4"/>
  <c r="T90" i="4"/>
  <c r="U90" i="4"/>
  <c r="P90" i="4"/>
  <c r="Q90" i="4"/>
  <c r="M90" i="4"/>
  <c r="L90" i="4"/>
  <c r="H90" i="4"/>
  <c r="I90" i="4"/>
  <c r="E90" i="4"/>
  <c r="AY90" i="4"/>
  <c r="D90" i="4"/>
  <c r="AX90" i="4"/>
  <c r="AZ90" i="4" s="1"/>
  <c r="B93" i="4"/>
  <c r="AV89" i="4"/>
  <c r="AW89" i="4"/>
  <c r="AR89" i="4"/>
  <c r="AS89" i="4"/>
  <c r="AN89" i="4"/>
  <c r="AO89" i="4"/>
  <c r="AK89" i="4"/>
  <c r="AJ89" i="4"/>
  <c r="AG89" i="4"/>
  <c r="AF89" i="4"/>
  <c r="AA93" i="4"/>
  <c r="AC89" i="4"/>
  <c r="Z93" i="4"/>
  <c r="AB93" i="4" s="1"/>
  <c r="AB89" i="4"/>
  <c r="W93" i="4"/>
  <c r="Y93" i="4" s="1"/>
  <c r="Y89" i="4"/>
  <c r="X89" i="4"/>
  <c r="S93" i="4"/>
  <c r="U93" i="4" s="1"/>
  <c r="U89" i="4"/>
  <c r="T89" i="4"/>
  <c r="O93" i="4"/>
  <c r="Q89" i="4"/>
  <c r="P89" i="4"/>
  <c r="N93" i="4"/>
  <c r="P93" i="4" s="1"/>
  <c r="K93" i="4"/>
  <c r="M93" i="4" s="1"/>
  <c r="M89" i="4"/>
  <c r="L89" i="4"/>
  <c r="G93" i="4"/>
  <c r="I89" i="4"/>
  <c r="F93" i="4"/>
  <c r="H93" i="4" s="1"/>
  <c r="AX89" i="4"/>
  <c r="H89" i="4"/>
  <c r="C93" i="4"/>
  <c r="AY89" i="4"/>
  <c r="BA89" i="4" s="1"/>
  <c r="E89" i="4"/>
  <c r="D89" i="4"/>
  <c r="AV88" i="4"/>
  <c r="AU93" i="4"/>
  <c r="AW88" i="4"/>
  <c r="AR88" i="4"/>
  <c r="AQ93" i="4"/>
  <c r="AS88" i="4"/>
  <c r="AM93" i="4"/>
  <c r="AN88" i="4"/>
  <c r="AO88" i="4"/>
  <c r="AJ88" i="4"/>
  <c r="AI93" i="4"/>
  <c r="AK88" i="4"/>
  <c r="AE93" i="4"/>
  <c r="AG93" i="4" s="1"/>
  <c r="AY88" i="4"/>
  <c r="AG88" i="4"/>
  <c r="AF88" i="4"/>
  <c r="E88" i="4"/>
  <c r="D88" i="4"/>
  <c r="AV86" i="4"/>
  <c r="AW86" i="4"/>
  <c r="AR86" i="4"/>
  <c r="AS86" i="4"/>
  <c r="AO86" i="4"/>
  <c r="AN86" i="4"/>
  <c r="AJ86" i="4"/>
  <c r="AK86" i="4"/>
  <c r="AF86" i="4"/>
  <c r="AG86" i="4"/>
  <c r="AC86" i="4"/>
  <c r="AB86" i="4"/>
  <c r="X86" i="4"/>
  <c r="Y86" i="4"/>
  <c r="T86" i="4"/>
  <c r="U86" i="4"/>
  <c r="Q86" i="4"/>
  <c r="P86" i="4"/>
  <c r="AY86" i="4"/>
  <c r="E86" i="4"/>
  <c r="AX86" i="4"/>
  <c r="AZ86" i="4" s="1"/>
  <c r="D86" i="4"/>
  <c r="AW84" i="4"/>
  <c r="AV84" i="4"/>
  <c r="AR84" i="4"/>
  <c r="AS84" i="4"/>
  <c r="AO84" i="4"/>
  <c r="AN84" i="4"/>
  <c r="AK84" i="4"/>
  <c r="AJ84" i="4"/>
  <c r="AG84" i="4"/>
  <c r="AF84" i="4"/>
  <c r="AC84" i="4"/>
  <c r="AB84" i="4"/>
  <c r="Y84" i="4"/>
  <c r="X84" i="4"/>
  <c r="T84" i="4"/>
  <c r="U84" i="4"/>
  <c r="Q84" i="4"/>
  <c r="P84" i="4"/>
  <c r="L84" i="4"/>
  <c r="M84" i="4"/>
  <c r="I84" i="4"/>
  <c r="H84" i="4"/>
  <c r="AY84" i="4"/>
  <c r="D84" i="4"/>
  <c r="E84" i="4"/>
  <c r="AW83" i="4"/>
  <c r="AV83" i="4"/>
  <c r="AS83" i="4"/>
  <c r="AR83" i="4"/>
  <c r="AN83" i="4"/>
  <c r="AO83" i="4"/>
  <c r="AK83" i="4"/>
  <c r="AJ83" i="4"/>
  <c r="AF83" i="4"/>
  <c r="AG83" i="4"/>
  <c r="AB83" i="4"/>
  <c r="AC83" i="4"/>
  <c r="P83" i="4"/>
  <c r="Q83" i="4"/>
  <c r="E83" i="4"/>
  <c r="AY83" i="4"/>
  <c r="D83" i="4"/>
  <c r="AX83" i="4"/>
  <c r="AZ83" i="4" s="1"/>
  <c r="AV82" i="4"/>
  <c r="AW82" i="4"/>
  <c r="AS82" i="4"/>
  <c r="AR82" i="4"/>
  <c r="AO82" i="4"/>
  <c r="AN82" i="4"/>
  <c r="AK82" i="4"/>
  <c r="AJ82" i="4"/>
  <c r="E82" i="4"/>
  <c r="AY82" i="4"/>
  <c r="D82" i="4"/>
  <c r="AX82" i="4"/>
  <c r="AZ82" i="4" s="1"/>
  <c r="AV81" i="4"/>
  <c r="AW81" i="4"/>
  <c r="AU85" i="4"/>
  <c r="AR81" i="4"/>
  <c r="AS81" i="4"/>
  <c r="AQ85" i="4"/>
  <c r="AN81" i="4"/>
  <c r="AO81" i="4"/>
  <c r="AM85" i="4"/>
  <c r="AI85" i="4"/>
  <c r="AK81" i="4"/>
  <c r="AJ81" i="4"/>
  <c r="AG81" i="4"/>
  <c r="AE85" i="4"/>
  <c r="AF81" i="4"/>
  <c r="AD85" i="4"/>
  <c r="AF85" i="4" s="1"/>
  <c r="AC81" i="4"/>
  <c r="AA85" i="4"/>
  <c r="AB81" i="4"/>
  <c r="Z85" i="4"/>
  <c r="AB85" i="4" s="1"/>
  <c r="W85" i="4"/>
  <c r="Y81" i="4"/>
  <c r="V85" i="4"/>
  <c r="X85" i="4" s="1"/>
  <c r="X81" i="4"/>
  <c r="S85" i="4"/>
  <c r="U81" i="4"/>
  <c r="R85" i="4"/>
  <c r="T85" i="4" s="1"/>
  <c r="T81" i="4"/>
  <c r="Q81" i="4"/>
  <c r="O85" i="4"/>
  <c r="P81" i="4"/>
  <c r="N85" i="4"/>
  <c r="P85" i="4" s="1"/>
  <c r="K85" i="4"/>
  <c r="M81" i="4"/>
  <c r="L81" i="4"/>
  <c r="J85" i="4"/>
  <c r="L85" i="4" s="1"/>
  <c r="I81" i="4"/>
  <c r="G85" i="4"/>
  <c r="H81" i="4"/>
  <c r="F85" i="4"/>
  <c r="H85" i="4" s="1"/>
  <c r="E81" i="4"/>
  <c r="C85" i="4"/>
  <c r="AY81" i="4"/>
  <c r="AX81" i="4"/>
  <c r="AZ81" i="4" s="1"/>
  <c r="D81" i="4"/>
  <c r="B85" i="4"/>
  <c r="D79" i="4"/>
  <c r="AX79" i="4"/>
  <c r="AZ79" i="4" s="1"/>
  <c r="AV77" i="4"/>
  <c r="AW77" i="4"/>
  <c r="AS77" i="4"/>
  <c r="AR77" i="4"/>
  <c r="AN77" i="4"/>
  <c r="AO77" i="4"/>
  <c r="AJ77" i="4"/>
  <c r="AK77" i="4"/>
  <c r="AD78" i="4"/>
  <c r="AF77" i="4"/>
  <c r="Z78" i="4"/>
  <c r="AB77" i="4"/>
  <c r="H77" i="4"/>
  <c r="F78" i="4"/>
  <c r="E77" i="4"/>
  <c r="AY77" i="4"/>
  <c r="D77" i="4"/>
  <c r="AX77" i="4"/>
  <c r="AZ77" i="4" s="1"/>
  <c r="AW76" i="4"/>
  <c r="AV76" i="4"/>
  <c r="AU78" i="4"/>
  <c r="AS76" i="4"/>
  <c r="AR76" i="4"/>
  <c r="AQ78" i="4"/>
  <c r="AO76" i="4"/>
  <c r="AN76" i="4"/>
  <c r="AM78" i="4"/>
  <c r="AJ76" i="4"/>
  <c r="AK76" i="4"/>
  <c r="AI78" i="4"/>
  <c r="AG76" i="4"/>
  <c r="AF76" i="4"/>
  <c r="AE78" i="4"/>
  <c r="AG78" i="4" s="1"/>
  <c r="AA78" i="4"/>
  <c r="AC78" i="4" s="1"/>
  <c r="AB76" i="4"/>
  <c r="AC76" i="4"/>
  <c r="W78" i="4"/>
  <c r="Y76" i="4"/>
  <c r="V78" i="4"/>
  <c r="X78" i="4" s="1"/>
  <c r="X76" i="4"/>
  <c r="S78" i="4"/>
  <c r="U76" i="4"/>
  <c r="R78" i="4"/>
  <c r="T78" i="4" s="1"/>
  <c r="T76" i="4"/>
  <c r="O78" i="4"/>
  <c r="Q76" i="4"/>
  <c r="N78" i="4"/>
  <c r="P78" i="4" s="1"/>
  <c r="P76" i="4"/>
  <c r="K78" i="4"/>
  <c r="M76" i="4"/>
  <c r="J78" i="4"/>
  <c r="L78" i="4" s="1"/>
  <c r="L76" i="4"/>
  <c r="G78" i="4"/>
  <c r="I78" i="4" s="1"/>
  <c r="I76" i="4"/>
  <c r="H76" i="4"/>
  <c r="C78" i="4"/>
  <c r="AY76" i="4"/>
  <c r="E76" i="4"/>
  <c r="AX76" i="4"/>
  <c r="AZ76" i="4" s="1"/>
  <c r="D76" i="4"/>
  <c r="B78" i="4"/>
  <c r="AV74" i="4"/>
  <c r="AW74" i="4"/>
  <c r="AS74" i="4"/>
  <c r="AR74" i="4"/>
  <c r="AO74" i="4"/>
  <c r="AN74" i="4"/>
  <c r="AK74" i="4"/>
  <c r="AJ74" i="4"/>
  <c r="AG74" i="4"/>
  <c r="AF74" i="4"/>
  <c r="AB74" i="4"/>
  <c r="AC74" i="4"/>
  <c r="Y74" i="4"/>
  <c r="X74" i="4"/>
  <c r="U74" i="4"/>
  <c r="T74" i="4"/>
  <c r="P74" i="4"/>
  <c r="Q74" i="4"/>
  <c r="M74" i="4"/>
  <c r="L74" i="4"/>
  <c r="H74" i="4"/>
  <c r="I74" i="4"/>
  <c r="AY74" i="4"/>
  <c r="E74" i="4"/>
  <c r="AX74" i="4"/>
  <c r="AZ74" i="4" s="1"/>
  <c r="D74" i="4"/>
  <c r="AW73" i="4"/>
  <c r="AV73" i="4"/>
  <c r="AS73" i="4"/>
  <c r="AR73" i="4"/>
  <c r="AO73" i="4"/>
  <c r="AN73" i="4"/>
  <c r="AJ73" i="4"/>
  <c r="AK73" i="4"/>
  <c r="AY73" i="4"/>
  <c r="E73" i="4"/>
  <c r="D73" i="4"/>
  <c r="AX73" i="4"/>
  <c r="AZ73" i="4" s="1"/>
  <c r="AW72" i="4"/>
  <c r="AV72" i="4"/>
  <c r="AS72" i="4"/>
  <c r="AR72" i="4"/>
  <c r="AO72" i="4"/>
  <c r="AN72" i="4"/>
  <c r="AJ72" i="4"/>
  <c r="AK72" i="4"/>
  <c r="P72" i="4"/>
  <c r="Q72" i="4"/>
  <c r="E72" i="4"/>
  <c r="AY72" i="4"/>
  <c r="D72" i="4"/>
  <c r="AX72" i="4"/>
  <c r="AZ72" i="4" s="1"/>
  <c r="AW70" i="4"/>
  <c r="AV70" i="4"/>
  <c r="AR70" i="4"/>
  <c r="AS70" i="4"/>
  <c r="AO70" i="4"/>
  <c r="AN70" i="4"/>
  <c r="AJ70" i="4"/>
  <c r="AK70" i="4"/>
  <c r="AF70" i="4"/>
  <c r="AG70" i="4"/>
  <c r="AC70" i="4"/>
  <c r="AB70" i="4"/>
  <c r="T70" i="4"/>
  <c r="U70" i="4"/>
  <c r="P70" i="4"/>
  <c r="Q70" i="4"/>
  <c r="M70" i="4"/>
  <c r="L70" i="4"/>
  <c r="H70" i="4"/>
  <c r="I70" i="4"/>
  <c r="D70" i="4"/>
  <c r="AY70" i="4"/>
  <c r="E70" i="4"/>
  <c r="AW69" i="4"/>
  <c r="AV69" i="4"/>
  <c r="AR69" i="4"/>
  <c r="AS69" i="4"/>
  <c r="AO69" i="4"/>
  <c r="AN69" i="4"/>
  <c r="AK69" i="4"/>
  <c r="AJ69" i="4"/>
  <c r="Y69" i="4"/>
  <c r="X69" i="4"/>
  <c r="L69" i="4"/>
  <c r="M69" i="4"/>
  <c r="AY69" i="4"/>
  <c r="E69" i="4"/>
  <c r="AX69" i="4"/>
  <c r="AZ69" i="4" s="1"/>
  <c r="D69" i="4"/>
  <c r="AV68" i="4"/>
  <c r="AW68" i="4"/>
  <c r="AS68" i="4"/>
  <c r="AR68" i="4"/>
  <c r="AN68" i="4"/>
  <c r="AO68" i="4"/>
  <c r="AJ68" i="4"/>
  <c r="AK68" i="4"/>
  <c r="AG68" i="4"/>
  <c r="AF68" i="4"/>
  <c r="AC68" i="4"/>
  <c r="AB68" i="4"/>
  <c r="U68" i="4"/>
  <c r="T68" i="4"/>
  <c r="Q68" i="4"/>
  <c r="P68" i="4"/>
  <c r="L68" i="4"/>
  <c r="AX68" i="4"/>
  <c r="H68" i="4"/>
  <c r="I68" i="4"/>
  <c r="E68" i="4"/>
  <c r="AY68" i="4"/>
  <c r="BA68" i="4" s="1"/>
  <c r="D68" i="4"/>
  <c r="AV67" i="4"/>
  <c r="AW67" i="4"/>
  <c r="AR67" i="4"/>
  <c r="AS67" i="4"/>
  <c r="AO67" i="4"/>
  <c r="AN67" i="4"/>
  <c r="AJ67" i="4"/>
  <c r="AK67" i="4"/>
  <c r="AB67" i="4"/>
  <c r="AC67" i="4"/>
  <c r="Q67" i="4"/>
  <c r="P67" i="4"/>
  <c r="AX67" i="4"/>
  <c r="L67" i="4"/>
  <c r="I67" i="4"/>
  <c r="H67" i="4"/>
  <c r="D67" i="4"/>
  <c r="AY67" i="4"/>
  <c r="BA67" i="4" s="1"/>
  <c r="E67" i="4"/>
  <c r="AW66" i="4"/>
  <c r="AV66" i="4"/>
  <c r="AS66" i="4"/>
  <c r="AR66" i="4"/>
  <c r="AO66" i="4"/>
  <c r="AN66" i="4"/>
  <c r="AJ66" i="4"/>
  <c r="AK66" i="4"/>
  <c r="AF66" i="4"/>
  <c r="AG66" i="4"/>
  <c r="Y66" i="4"/>
  <c r="X66" i="4"/>
  <c r="T66" i="4"/>
  <c r="U66" i="4"/>
  <c r="H66" i="4"/>
  <c r="I66" i="4"/>
  <c r="AY66" i="4"/>
  <c r="E66" i="4"/>
  <c r="B71" i="4"/>
  <c r="D66" i="4"/>
  <c r="AX66" i="4"/>
  <c r="AZ66" i="4" s="1"/>
  <c r="AV65" i="4"/>
  <c r="AW65" i="4"/>
  <c r="AR65" i="4"/>
  <c r="AS65" i="4"/>
  <c r="AK65" i="4"/>
  <c r="AJ65" i="4"/>
  <c r="AD71" i="4"/>
  <c r="AF65" i="4"/>
  <c r="AB65" i="4"/>
  <c r="Z71" i="4"/>
  <c r="X65" i="4"/>
  <c r="V71" i="4"/>
  <c r="T65" i="4"/>
  <c r="R71" i="4"/>
  <c r="P65" i="4"/>
  <c r="N71" i="4"/>
  <c r="AY65" i="4"/>
  <c r="M65" i="4"/>
  <c r="L65" i="4"/>
  <c r="J71" i="4"/>
  <c r="AX65" i="4"/>
  <c r="AZ65" i="4" s="1"/>
  <c r="H65" i="4"/>
  <c r="F71" i="4"/>
  <c r="D65" i="4"/>
  <c r="E65" i="4"/>
  <c r="AU71" i="4"/>
  <c r="AV64" i="4"/>
  <c r="AW64" i="4"/>
  <c r="AQ71" i="4"/>
  <c r="AR64" i="4"/>
  <c r="AS64" i="4"/>
  <c r="AO64" i="4"/>
  <c r="AM71" i="4"/>
  <c r="AN64" i="4"/>
  <c r="AJ64" i="4"/>
  <c r="AK64" i="4"/>
  <c r="AI71" i="4"/>
  <c r="AE71" i="4"/>
  <c r="AG71" i="4" s="1"/>
  <c r="AF64" i="4"/>
  <c r="AG64" i="4"/>
  <c r="AB64" i="4"/>
  <c r="AC64" i="4"/>
  <c r="AA71" i="4"/>
  <c r="AC71" i="4" s="1"/>
  <c r="X64" i="4"/>
  <c r="Y64" i="4"/>
  <c r="W71" i="4"/>
  <c r="Y71" i="4" s="1"/>
  <c r="S71" i="4"/>
  <c r="U71" i="4" s="1"/>
  <c r="U64" i="4"/>
  <c r="T64" i="4"/>
  <c r="O71" i="4"/>
  <c r="Q71" i="4" s="1"/>
  <c r="Q64" i="4"/>
  <c r="P64" i="4"/>
  <c r="K71" i="4"/>
  <c r="M71" i="4" s="1"/>
  <c r="L64" i="4"/>
  <c r="M64" i="4"/>
  <c r="G71" i="4"/>
  <c r="I71" i="4" s="1"/>
  <c r="H64" i="4"/>
  <c r="I64" i="4"/>
  <c r="AY64" i="4"/>
  <c r="D64" i="4"/>
  <c r="E64" i="4"/>
  <c r="C71" i="4"/>
  <c r="AW62" i="4"/>
  <c r="AV62" i="4"/>
  <c r="AR62" i="4"/>
  <c r="AS62" i="4"/>
  <c r="AN62" i="4"/>
  <c r="AO62" i="4"/>
  <c r="AJ62" i="4"/>
  <c r="AK62" i="4"/>
  <c r="AF62" i="4"/>
  <c r="AG62" i="4"/>
  <c r="AB62" i="4"/>
  <c r="AC62" i="4"/>
  <c r="Y62" i="4"/>
  <c r="X62" i="4"/>
  <c r="T62" i="4"/>
  <c r="U62" i="4"/>
  <c r="Q62" i="4"/>
  <c r="P62" i="4"/>
  <c r="M62" i="4"/>
  <c r="L62" i="4"/>
  <c r="H62" i="4"/>
  <c r="I62" i="4"/>
  <c r="AY62" i="4"/>
  <c r="E62" i="4"/>
  <c r="D62" i="4"/>
  <c r="AX62" i="4"/>
  <c r="AZ62" i="4" s="1"/>
  <c r="AV61" i="4"/>
  <c r="AW61" i="4"/>
  <c r="AR61" i="4"/>
  <c r="AS61" i="4"/>
  <c r="AN61" i="4"/>
  <c r="AO61" i="4"/>
  <c r="AJ61" i="4"/>
  <c r="AK61" i="4"/>
  <c r="AY61" i="4"/>
  <c r="E61" i="4"/>
  <c r="AX61" i="4"/>
  <c r="AZ61" i="4" s="1"/>
  <c r="D61" i="4"/>
  <c r="AR60" i="4"/>
  <c r="AS60" i="4"/>
  <c r="AN60" i="4"/>
  <c r="AO60" i="4"/>
  <c r="AK60" i="4"/>
  <c r="AJ60" i="4"/>
  <c r="AG60" i="4"/>
  <c r="AF60" i="4"/>
  <c r="AC60" i="4"/>
  <c r="AB60" i="4"/>
  <c r="Y60" i="4"/>
  <c r="X60" i="4"/>
  <c r="T60" i="4"/>
  <c r="U60" i="4"/>
  <c r="M60" i="4"/>
  <c r="L60" i="4"/>
  <c r="E60" i="4"/>
  <c r="AY60" i="4"/>
  <c r="D60" i="4"/>
  <c r="AB58" i="4"/>
  <c r="Z59" i="4"/>
  <c r="AX58" i="4"/>
  <c r="AZ58" i="4" s="1"/>
  <c r="H58" i="4"/>
  <c r="AV57" i="4"/>
  <c r="AW57" i="4"/>
  <c r="AN57" i="4"/>
  <c r="AO57" i="4"/>
  <c r="AF57" i="4"/>
  <c r="AD59" i="4"/>
  <c r="AC57" i="4"/>
  <c r="AB57" i="4"/>
  <c r="Y57" i="4"/>
  <c r="X57" i="4"/>
  <c r="U57" i="4"/>
  <c r="T57" i="4"/>
  <c r="P57" i="4"/>
  <c r="N59" i="4"/>
  <c r="H57" i="4"/>
  <c r="F59" i="4"/>
  <c r="E57" i="4"/>
  <c r="AY57" i="4"/>
  <c r="D57" i="4"/>
  <c r="AX57" i="4"/>
  <c r="AZ57" i="4" s="1"/>
  <c r="AU59" i="4"/>
  <c r="AV56" i="4"/>
  <c r="AR56" i="4"/>
  <c r="AS56" i="4"/>
  <c r="AQ59" i="4"/>
  <c r="AN56" i="4"/>
  <c r="AO56" i="4"/>
  <c r="AM59" i="4"/>
  <c r="AI59" i="4"/>
  <c r="AK56" i="4"/>
  <c r="AJ56" i="4"/>
  <c r="AE59" i="4"/>
  <c r="AG59" i="4" s="1"/>
  <c r="AG56" i="4"/>
  <c r="AF56" i="4"/>
  <c r="AC56" i="4"/>
  <c r="AB56" i="4"/>
  <c r="AA59" i="4"/>
  <c r="AC59" i="4" s="1"/>
  <c r="X56" i="4"/>
  <c r="Y56" i="4"/>
  <c r="W59" i="4"/>
  <c r="S59" i="4"/>
  <c r="T56" i="4"/>
  <c r="U56" i="4"/>
  <c r="Q56" i="4"/>
  <c r="O59" i="4"/>
  <c r="Q59" i="4" s="1"/>
  <c r="P56" i="4"/>
  <c r="M56" i="4"/>
  <c r="K59" i="4"/>
  <c r="L56" i="4"/>
  <c r="G59" i="4"/>
  <c r="I59" i="4" s="1"/>
  <c r="I56" i="4"/>
  <c r="H56" i="4"/>
  <c r="C59" i="4"/>
  <c r="E56" i="4"/>
  <c r="B59" i="4"/>
  <c r="D56" i="4"/>
  <c r="AN54" i="4"/>
  <c r="AO54" i="4"/>
  <c r="AF54" i="4"/>
  <c r="AG54" i="4"/>
  <c r="AB54" i="4"/>
  <c r="AC54" i="4"/>
  <c r="X54" i="4"/>
  <c r="Y54" i="4"/>
  <c r="T54" i="4"/>
  <c r="U54" i="4"/>
  <c r="Q54" i="4"/>
  <c r="P54" i="4"/>
  <c r="M54" i="4"/>
  <c r="L54" i="4"/>
  <c r="H54" i="4"/>
  <c r="I54" i="4"/>
  <c r="E54" i="4"/>
  <c r="AY54" i="4"/>
  <c r="AW53" i="4"/>
  <c r="AV53" i="4"/>
  <c r="AK53" i="4"/>
  <c r="AJ53" i="4"/>
  <c r="I53" i="4"/>
  <c r="H53" i="4"/>
  <c r="AY53" i="4"/>
  <c r="E53" i="4"/>
  <c r="D53" i="4"/>
  <c r="AX53" i="4"/>
  <c r="AZ53" i="4" s="1"/>
  <c r="AV51" i="4"/>
  <c r="AW51" i="4"/>
  <c r="AS51" i="4"/>
  <c r="AR51" i="4"/>
  <c r="AO51" i="4"/>
  <c r="AN51" i="4"/>
  <c r="AK51" i="4"/>
  <c r="AJ51" i="4"/>
  <c r="AB51" i="4"/>
  <c r="AC51" i="4"/>
  <c r="X51" i="4"/>
  <c r="Y51" i="4"/>
  <c r="U51" i="4"/>
  <c r="T51" i="4"/>
  <c r="P51" i="4"/>
  <c r="Q51" i="4"/>
  <c r="L51" i="4"/>
  <c r="M51" i="4"/>
  <c r="I51" i="4"/>
  <c r="H51" i="4"/>
  <c r="E51" i="4"/>
  <c r="AY51" i="4"/>
  <c r="AX51" i="4"/>
  <c r="AZ51" i="4" s="1"/>
  <c r="D51" i="4"/>
  <c r="AV49" i="4"/>
  <c r="AW49" i="4"/>
  <c r="AN49" i="4"/>
  <c r="AO49" i="4"/>
  <c r="AK49" i="4"/>
  <c r="AJ49" i="4"/>
  <c r="AB49" i="4"/>
  <c r="AC49" i="4"/>
  <c r="AX49" i="4"/>
  <c r="L49" i="4"/>
  <c r="I49" i="4"/>
  <c r="H49" i="4"/>
  <c r="AY49" i="4"/>
  <c r="BA49" i="4" s="1"/>
  <c r="D49" i="4"/>
  <c r="E49" i="4"/>
  <c r="AS48" i="4"/>
  <c r="AR48" i="4"/>
  <c r="AO48" i="4"/>
  <c r="AN48" i="4"/>
  <c r="AJ48" i="4"/>
  <c r="AK48" i="4"/>
  <c r="D48" i="4"/>
  <c r="AX48" i="4"/>
  <c r="AV47" i="4"/>
  <c r="AW47" i="4"/>
  <c r="AU50" i="4"/>
  <c r="AR47" i="4"/>
  <c r="AS47" i="4"/>
  <c r="AQ50" i="4"/>
  <c r="AO47" i="4"/>
  <c r="AN47" i="4"/>
  <c r="AM50" i="4"/>
  <c r="AI50" i="4"/>
  <c r="AJ47" i="4"/>
  <c r="AK47" i="4"/>
  <c r="AE50" i="4"/>
  <c r="AG47" i="4"/>
  <c r="AF47" i="4"/>
  <c r="AD50" i="4"/>
  <c r="AF50" i="4" s="1"/>
  <c r="AC47" i="4"/>
  <c r="AA50" i="4"/>
  <c r="AB47" i="4"/>
  <c r="Z50" i="4"/>
  <c r="AB50" i="4" s="1"/>
  <c r="Y47" i="4"/>
  <c r="W50" i="4"/>
  <c r="V50" i="4"/>
  <c r="X50" i="4" s="1"/>
  <c r="X47" i="4"/>
  <c r="S50" i="4"/>
  <c r="U47" i="4"/>
  <c r="R50" i="4"/>
  <c r="T50" i="4" s="1"/>
  <c r="T47" i="4"/>
  <c r="Q47" i="4"/>
  <c r="O50" i="4"/>
  <c r="P47" i="4"/>
  <c r="N50" i="4"/>
  <c r="P50" i="4" s="1"/>
  <c r="M47" i="4"/>
  <c r="K50" i="4"/>
  <c r="I47" i="4"/>
  <c r="G50" i="4"/>
  <c r="H47" i="4"/>
  <c r="F50" i="4"/>
  <c r="H50" i="4" s="1"/>
  <c r="E47" i="4"/>
  <c r="AY47" i="4"/>
  <c r="C50" i="4"/>
  <c r="D47" i="4"/>
  <c r="B50" i="4"/>
  <c r="AX47" i="4"/>
  <c r="AZ47" i="4" s="1"/>
  <c r="AW45" i="4"/>
  <c r="AV45" i="4"/>
  <c r="AS45" i="4"/>
  <c r="AR45" i="4"/>
  <c r="AO45" i="4"/>
  <c r="AN45" i="4"/>
  <c r="AJ45" i="4"/>
  <c r="AK45" i="4"/>
  <c r="AG45" i="4"/>
  <c r="AF45" i="4"/>
  <c r="AC45" i="4"/>
  <c r="AB45" i="4"/>
  <c r="U45" i="4"/>
  <c r="T45" i="4"/>
  <c r="P45" i="4"/>
  <c r="Q45" i="4"/>
  <c r="I45" i="4"/>
  <c r="H45" i="4"/>
  <c r="E45" i="4"/>
  <c r="AY45" i="4"/>
  <c r="AX45" i="4"/>
  <c r="AZ45" i="4" s="1"/>
  <c r="D45" i="4"/>
  <c r="AW43" i="4"/>
  <c r="AU44" i="4"/>
  <c r="AV43" i="4"/>
  <c r="AR43" i="4"/>
  <c r="AQ44" i="4"/>
  <c r="AS43" i="4"/>
  <c r="AM44" i="4"/>
  <c r="AO43" i="4"/>
  <c r="AN43" i="4"/>
  <c r="AJ43" i="4"/>
  <c r="AI44" i="4"/>
  <c r="AK43" i="4"/>
  <c r="AG43" i="4"/>
  <c r="AF43" i="4"/>
  <c r="AE44" i="4"/>
  <c r="AB43" i="4"/>
  <c r="AA44" i="4"/>
  <c r="AC43" i="4"/>
  <c r="W44" i="4"/>
  <c r="Y43" i="4"/>
  <c r="X43" i="4"/>
  <c r="S44" i="4"/>
  <c r="U43" i="4"/>
  <c r="Q43" i="4"/>
  <c r="P43" i="4"/>
  <c r="O44" i="4"/>
  <c r="M43" i="4"/>
  <c r="K44" i="4"/>
  <c r="L43" i="4"/>
  <c r="H43" i="4"/>
  <c r="I43" i="4"/>
  <c r="G44" i="4"/>
  <c r="AY43" i="4"/>
  <c r="C44" i="4"/>
  <c r="E43" i="4"/>
  <c r="B44" i="4"/>
  <c r="D43" i="4"/>
  <c r="AX43" i="4"/>
  <c r="AZ43" i="4" s="1"/>
  <c r="AU52" i="4"/>
  <c r="AW41" i="4"/>
  <c r="AV41" i="4"/>
  <c r="AT52" i="4"/>
  <c r="AS41" i="4"/>
  <c r="AQ52" i="4"/>
  <c r="AR41" i="4"/>
  <c r="AP52" i="4"/>
  <c r="AM52" i="4"/>
  <c r="AO41" i="4"/>
  <c r="AL52" i="4"/>
  <c r="AN41" i="4"/>
  <c r="AI52" i="4"/>
  <c r="AK41" i="4"/>
  <c r="AH52" i="4"/>
  <c r="AJ52" i="4" s="1"/>
  <c r="AJ41" i="4"/>
  <c r="AE52" i="4"/>
  <c r="AG41" i="4"/>
  <c r="AD52" i="4"/>
  <c r="AF52" i="4" s="1"/>
  <c r="AF41" i="4"/>
  <c r="AC41" i="4"/>
  <c r="AA52" i="4"/>
  <c r="AB41" i="4"/>
  <c r="Z52" i="4"/>
  <c r="AB52" i="4" s="1"/>
  <c r="Y41" i="4"/>
  <c r="W52" i="4"/>
  <c r="Y52" i="4" s="1"/>
  <c r="V52" i="4"/>
  <c r="X52" i="4" s="1"/>
  <c r="X41" i="4"/>
  <c r="S52" i="4"/>
  <c r="U41" i="4"/>
  <c r="T41" i="4"/>
  <c r="R52" i="4"/>
  <c r="T52" i="4" s="1"/>
  <c r="O52" i="4"/>
  <c r="Q41" i="4"/>
  <c r="P41" i="4"/>
  <c r="N52" i="4"/>
  <c r="P52" i="4" s="1"/>
  <c r="K52" i="4"/>
  <c r="M41" i="4"/>
  <c r="L41" i="4"/>
  <c r="J52" i="4"/>
  <c r="L52" i="4" s="1"/>
  <c r="AW40" i="4"/>
  <c r="AV40" i="4"/>
  <c r="AS40" i="4"/>
  <c r="AR40" i="4"/>
  <c r="AN40" i="4"/>
  <c r="AO40" i="4"/>
  <c r="AJ40" i="4"/>
  <c r="AK40" i="4"/>
  <c r="AF40" i="4"/>
  <c r="AG40" i="4"/>
  <c r="Q40" i="4"/>
  <c r="P40" i="4"/>
  <c r="M40" i="4"/>
  <c r="L40" i="4"/>
  <c r="AY40" i="4"/>
  <c r="E40" i="4"/>
  <c r="D40" i="4"/>
  <c r="AX40" i="4"/>
  <c r="AZ40" i="4" s="1"/>
  <c r="AW39" i="4"/>
  <c r="AV39" i="4"/>
  <c r="AS39" i="4"/>
  <c r="AR39" i="4"/>
  <c r="AN39" i="4"/>
  <c r="AO39" i="4"/>
  <c r="AK39" i="4"/>
  <c r="AJ39" i="4"/>
  <c r="E39" i="4"/>
  <c r="AY39" i="4"/>
  <c r="BA39" i="4" s="1"/>
  <c r="AX39" i="4"/>
  <c r="AZ39" i="4" s="1"/>
  <c r="D39" i="4"/>
  <c r="AV38" i="4"/>
  <c r="AW38" i="4"/>
  <c r="AS38" i="4"/>
  <c r="AR38" i="4"/>
  <c r="AN38" i="4"/>
  <c r="AO38" i="4"/>
  <c r="AK38" i="4"/>
  <c r="AJ38" i="4"/>
  <c r="Y38" i="4"/>
  <c r="X38" i="4"/>
  <c r="T38" i="4"/>
  <c r="U38" i="4"/>
  <c r="H38" i="4"/>
  <c r="I38" i="4"/>
  <c r="E38" i="4"/>
  <c r="AY38" i="4"/>
  <c r="AX38" i="4"/>
  <c r="AZ38" i="4" s="1"/>
  <c r="D38" i="4"/>
  <c r="AW37" i="4"/>
  <c r="AV37" i="4"/>
  <c r="AS37" i="4"/>
  <c r="AR37" i="4"/>
  <c r="AO37" i="4"/>
  <c r="AN37" i="4"/>
  <c r="AJ37" i="4"/>
  <c r="AK37" i="4"/>
  <c r="I37" i="4"/>
  <c r="G41" i="4"/>
  <c r="H37" i="4"/>
  <c r="F41" i="4"/>
  <c r="E37" i="4"/>
  <c r="AY37" i="4"/>
  <c r="C41" i="4"/>
  <c r="AX37" i="4"/>
  <c r="AZ37" i="4" s="1"/>
  <c r="D37" i="4"/>
  <c r="B41" i="4"/>
  <c r="D34" i="4"/>
  <c r="AX34" i="4"/>
  <c r="AZ34" i="4" s="1"/>
  <c r="AV33" i="4"/>
  <c r="AW33" i="4"/>
  <c r="AR33" i="4"/>
  <c r="AS33" i="4"/>
  <c r="AO33" i="4"/>
  <c r="AN33" i="4"/>
  <c r="AJ33" i="4"/>
  <c r="AK33" i="4"/>
  <c r="AF33" i="4"/>
  <c r="AG33" i="4"/>
  <c r="U33" i="4"/>
  <c r="T33" i="4"/>
  <c r="Q33" i="4"/>
  <c r="P33" i="4"/>
  <c r="L33" i="4"/>
  <c r="AX33" i="4"/>
  <c r="I33" i="4"/>
  <c r="H33" i="4"/>
  <c r="AY33" i="4"/>
  <c r="BA33" i="4" s="1"/>
  <c r="E33" i="4"/>
  <c r="D33" i="4"/>
  <c r="AW32" i="4"/>
  <c r="AV32" i="4"/>
  <c r="AS32" i="4"/>
  <c r="AR32" i="4"/>
  <c r="AN32" i="4"/>
  <c r="AO32" i="4"/>
  <c r="AK32" i="4"/>
  <c r="AJ32" i="4"/>
  <c r="P32" i="4"/>
  <c r="Q32" i="4"/>
  <c r="AX32" i="4"/>
  <c r="L32" i="4"/>
  <c r="I32" i="4"/>
  <c r="H32" i="4"/>
  <c r="AY32" i="4"/>
  <c r="BA32" i="4" s="1"/>
  <c r="E32" i="4"/>
  <c r="D32" i="4"/>
  <c r="AW31" i="4"/>
  <c r="AV31" i="4"/>
  <c r="AS31" i="4"/>
  <c r="AR31" i="4"/>
  <c r="AN31" i="4"/>
  <c r="AO31" i="4"/>
  <c r="AK31" i="4"/>
  <c r="AJ31" i="4"/>
  <c r="E31" i="4"/>
  <c r="AY31" i="4"/>
  <c r="D31" i="4"/>
  <c r="AX31" i="4"/>
  <c r="AZ31" i="4" s="1"/>
  <c r="AX30" i="4"/>
  <c r="AZ30" i="4" s="1"/>
  <c r="P30" i="4"/>
  <c r="AV28" i="4"/>
  <c r="AW28" i="4"/>
  <c r="AR28" i="4"/>
  <c r="AS28" i="4"/>
  <c r="AN28" i="4"/>
  <c r="AO28" i="4"/>
  <c r="AY28" i="4"/>
  <c r="BA28" i="4" s="1"/>
  <c r="E28" i="4"/>
  <c r="AX28" i="4"/>
  <c r="AZ28" i="4" s="1"/>
  <c r="D28" i="4"/>
  <c r="AV27" i="4"/>
  <c r="AU29" i="4"/>
  <c r="AW27" i="4"/>
  <c r="AR27" i="4"/>
  <c r="AS27" i="4"/>
  <c r="AQ29" i="4"/>
  <c r="AO27" i="4"/>
  <c r="AN27" i="4"/>
  <c r="AM29" i="4"/>
  <c r="AK27" i="4"/>
  <c r="AI29" i="4"/>
  <c r="AJ27" i="4"/>
  <c r="AH29" i="4"/>
  <c r="AJ29" i="4" s="1"/>
  <c r="AG27" i="4"/>
  <c r="AE29" i="4"/>
  <c r="AD29" i="4"/>
  <c r="AF29" i="4" s="1"/>
  <c r="AF27" i="4"/>
  <c r="AC27" i="4"/>
  <c r="AA29" i="4"/>
  <c r="AC29" i="4" s="1"/>
  <c r="AB27" i="4"/>
  <c r="Z29" i="4"/>
  <c r="AB29" i="4" s="1"/>
  <c r="W29" i="4"/>
  <c r="Y27" i="4"/>
  <c r="X27" i="4"/>
  <c r="V29" i="4"/>
  <c r="X29" i="4" s="1"/>
  <c r="U27" i="4"/>
  <c r="S29" i="4"/>
  <c r="T27" i="4"/>
  <c r="R29" i="4"/>
  <c r="T29" i="4" s="1"/>
  <c r="Q27" i="4"/>
  <c r="O29" i="4"/>
  <c r="N29" i="4"/>
  <c r="P29" i="4" s="1"/>
  <c r="P27" i="4"/>
  <c r="M27" i="4"/>
  <c r="K29" i="4"/>
  <c r="L27" i="4"/>
  <c r="J29" i="4"/>
  <c r="L29" i="4" s="1"/>
  <c r="I27" i="4"/>
  <c r="G29" i="4"/>
  <c r="H27" i="4"/>
  <c r="F29" i="4"/>
  <c r="H29" i="4" s="1"/>
  <c r="E27" i="4"/>
  <c r="AY27" i="4"/>
  <c r="C29" i="4"/>
  <c r="AX27" i="4"/>
  <c r="AZ27" i="4" s="1"/>
  <c r="D27" i="4"/>
  <c r="B29" i="4"/>
  <c r="AW24" i="4"/>
  <c r="AV24" i="4"/>
  <c r="AR24" i="4"/>
  <c r="AS24" i="4"/>
  <c r="AN24" i="4"/>
  <c r="AO24" i="4"/>
  <c r="AK24" i="4"/>
  <c r="AJ24" i="4"/>
  <c r="AG24" i="4"/>
  <c r="AF24" i="4"/>
  <c r="AC24" i="4"/>
  <c r="AB24" i="4"/>
  <c r="Y24" i="4"/>
  <c r="X24" i="4"/>
  <c r="U24" i="4"/>
  <c r="T24" i="4"/>
  <c r="Q24" i="4"/>
  <c r="P24" i="4"/>
  <c r="M24" i="4"/>
  <c r="L24" i="4"/>
  <c r="H24" i="4"/>
  <c r="I24" i="4"/>
  <c r="AY24" i="4"/>
  <c r="E24" i="4"/>
  <c r="D24" i="4"/>
  <c r="AW23" i="4"/>
  <c r="AV23" i="4"/>
  <c r="AS23" i="4"/>
  <c r="AR23" i="4"/>
  <c r="AO23" i="4"/>
  <c r="AN23" i="4"/>
  <c r="AK23" i="4"/>
  <c r="AJ23" i="4"/>
  <c r="AF23" i="4"/>
  <c r="AG23" i="4"/>
  <c r="AC23" i="4"/>
  <c r="AB23" i="4"/>
  <c r="Y23" i="4"/>
  <c r="X23" i="4"/>
  <c r="T23" i="4"/>
  <c r="U23" i="4"/>
  <c r="P23" i="4"/>
  <c r="Q23" i="4"/>
  <c r="M23" i="4"/>
  <c r="L23" i="4"/>
  <c r="I23" i="4"/>
  <c r="H23" i="4"/>
  <c r="E23" i="4"/>
  <c r="AY23" i="4"/>
  <c r="D23" i="4"/>
  <c r="AU25" i="4"/>
  <c r="AV22" i="4"/>
  <c r="AW22" i="4"/>
  <c r="AQ25" i="4"/>
  <c r="AS22" i="4"/>
  <c r="AR22" i="4"/>
  <c r="AM25" i="4"/>
  <c r="AO22" i="4"/>
  <c r="AN22" i="4"/>
  <c r="AI25" i="4"/>
  <c r="AK22" i="4"/>
  <c r="AE25" i="4"/>
  <c r="AG22" i="4"/>
  <c r="AA25" i="4"/>
  <c r="AC22" i="4"/>
  <c r="W25" i="4"/>
  <c r="Y22" i="4"/>
  <c r="S25" i="4"/>
  <c r="U22" i="4"/>
  <c r="O25" i="4"/>
  <c r="Q22" i="4"/>
  <c r="M22" i="4"/>
  <c r="K25" i="4"/>
  <c r="I22" i="4"/>
  <c r="G25" i="4"/>
  <c r="E22" i="4"/>
  <c r="AY22" i="4"/>
  <c r="C25" i="4"/>
  <c r="D22" i="4"/>
  <c r="AX22" i="4"/>
  <c r="AZ22" i="4" s="1"/>
  <c r="AH25" i="4"/>
  <c r="AJ21" i="4"/>
  <c r="AD25" i="4"/>
  <c r="AF21" i="4"/>
  <c r="AB21" i="4"/>
  <c r="Z25" i="4"/>
  <c r="X21" i="4"/>
  <c r="V25" i="4"/>
  <c r="T21" i="4"/>
  <c r="R25" i="4"/>
  <c r="P21" i="4"/>
  <c r="N25" i="4"/>
  <c r="L21" i="4"/>
  <c r="J25" i="4"/>
  <c r="H21" i="4"/>
  <c r="F25" i="4"/>
  <c r="AX21" i="4"/>
  <c r="AZ21" i="4" s="1"/>
  <c r="D21" i="4"/>
  <c r="B25" i="4"/>
  <c r="AV16" i="4"/>
  <c r="AW16" i="4"/>
  <c r="AR16" i="4"/>
  <c r="AS16" i="4"/>
  <c r="AN16" i="4"/>
  <c r="AO16" i="4"/>
  <c r="AK16" i="4"/>
  <c r="AJ16" i="4"/>
  <c r="E16" i="4"/>
  <c r="AY16" i="4"/>
  <c r="AX16" i="4"/>
  <c r="AZ16" i="4" s="1"/>
  <c r="D16" i="4"/>
  <c r="AV15" i="4"/>
  <c r="AW15" i="4"/>
  <c r="AS15" i="4"/>
  <c r="AR15" i="4"/>
  <c r="AO15" i="4"/>
  <c r="AN15" i="4"/>
  <c r="AJ15" i="4"/>
  <c r="AK15" i="4"/>
  <c r="E15" i="4"/>
  <c r="AY15" i="4"/>
  <c r="BA15" i="4" s="1"/>
  <c r="D15" i="4"/>
  <c r="AX15" i="4"/>
  <c r="AZ15" i="4" s="1"/>
  <c r="AW14" i="4"/>
  <c r="AV14" i="4"/>
  <c r="AR14" i="4"/>
  <c r="AS14" i="4"/>
  <c r="AO14" i="4"/>
  <c r="AN14" i="4"/>
  <c r="AK14" i="4"/>
  <c r="AJ14" i="4"/>
  <c r="E14" i="4"/>
  <c r="AY14" i="4"/>
  <c r="AX14" i="4"/>
  <c r="AZ14" i="4" s="1"/>
  <c r="D14" i="4"/>
  <c r="AW13" i="4"/>
  <c r="AV13" i="4"/>
  <c r="AR13" i="4"/>
  <c r="AS13" i="4"/>
  <c r="AN13" i="4"/>
  <c r="AO13" i="4"/>
  <c r="AJ13" i="4"/>
  <c r="AK13" i="4"/>
  <c r="AG13" i="4"/>
  <c r="AF13" i="4"/>
  <c r="AB13" i="4"/>
  <c r="AC13" i="4"/>
  <c r="AY13" i="4"/>
  <c r="E13" i="4"/>
  <c r="D13" i="4"/>
  <c r="AX13" i="4"/>
  <c r="AZ13" i="4" s="1"/>
  <c r="AW12" i="4"/>
  <c r="AV12" i="4"/>
  <c r="AR12" i="4"/>
  <c r="AS12" i="4"/>
  <c r="AN12" i="4"/>
  <c r="AO12" i="4"/>
  <c r="AJ12" i="4"/>
  <c r="AK12" i="4"/>
  <c r="AY12" i="4"/>
  <c r="BA12" i="4" s="1"/>
  <c r="E12" i="4"/>
  <c r="AX12" i="4"/>
  <c r="AZ12" i="4" s="1"/>
  <c r="D12" i="4"/>
  <c r="AT17" i="4"/>
  <c r="AP17" i="4"/>
  <c r="AL17" i="4"/>
  <c r="AH17" i="4"/>
  <c r="AD17" i="4"/>
  <c r="Z17" i="4"/>
  <c r="V17" i="4"/>
  <c r="L11" i="4"/>
  <c r="J17" i="4"/>
  <c r="D11" i="4"/>
  <c r="B17" i="4"/>
  <c r="AV10" i="4"/>
  <c r="AW10" i="4"/>
  <c r="AS10" i="4"/>
  <c r="AR10" i="4"/>
  <c r="AO10" i="4"/>
  <c r="AN10" i="4"/>
  <c r="AK10" i="4"/>
  <c r="AJ10" i="4"/>
  <c r="AG10" i="4"/>
  <c r="AF10" i="4"/>
  <c r="AB10" i="4"/>
  <c r="AC10" i="4"/>
  <c r="X10" i="4"/>
  <c r="Y10" i="4"/>
  <c r="U10" i="4"/>
  <c r="T10" i="4"/>
  <c r="P10" i="4"/>
  <c r="N11" i="4"/>
  <c r="M10" i="4"/>
  <c r="L10" i="4"/>
  <c r="H10" i="4"/>
  <c r="F11" i="4"/>
  <c r="AX11" i="4" s="1"/>
  <c r="AX10" i="4"/>
  <c r="AY10" i="4"/>
  <c r="BA10" i="4" s="1"/>
  <c r="D10" i="4"/>
  <c r="E10" i="4"/>
  <c r="AV9" i="4"/>
  <c r="AW9" i="4"/>
  <c r="AU11" i="4"/>
  <c r="AV11" i="4" s="1"/>
  <c r="AQ11" i="4"/>
  <c r="AR11" i="4" s="1"/>
  <c r="AR9" i="4"/>
  <c r="AS9" i="4"/>
  <c r="AM11" i="4"/>
  <c r="AN11" i="4" s="1"/>
  <c r="AO9" i="4"/>
  <c r="AN9" i="4"/>
  <c r="AJ9" i="4"/>
  <c r="AI11" i="4"/>
  <c r="AJ11" i="4" s="1"/>
  <c r="AK9" i="4"/>
  <c r="AF9" i="4"/>
  <c r="AE11" i="4"/>
  <c r="AF11" i="4" s="1"/>
  <c r="AG9" i="4"/>
  <c r="AA11" i="4"/>
  <c r="AB11" i="4" s="1"/>
  <c r="AC9" i="4"/>
  <c r="AB9" i="4"/>
  <c r="W11" i="4"/>
  <c r="X11" i="4" s="1"/>
  <c r="Y9" i="4"/>
  <c r="X9" i="4"/>
  <c r="S11" i="4"/>
  <c r="U9" i="4"/>
  <c r="AX9" i="4"/>
  <c r="AZ9" i="4" s="1"/>
  <c r="R11" i="4"/>
  <c r="T9" i="4"/>
  <c r="P9" i="4"/>
  <c r="O11" i="4"/>
  <c r="Q9" i="4"/>
  <c r="M9" i="4"/>
  <c r="L9" i="4"/>
  <c r="K11" i="4"/>
  <c r="H9" i="4"/>
  <c r="I9" i="4"/>
  <c r="G11" i="4"/>
  <c r="AY9" i="4"/>
  <c r="D9" i="4"/>
  <c r="E9" i="4"/>
  <c r="C11" i="4"/>
  <c r="H26" i="2"/>
  <c r="G28" i="2"/>
  <c r="H28" i="2" s="1"/>
  <c r="E99" i="4" l="1"/>
  <c r="AY99" i="4"/>
  <c r="D99" i="4"/>
  <c r="AX99" i="4"/>
  <c r="AZ99" i="4" s="1"/>
  <c r="AV99" i="4"/>
  <c r="AW99" i="4"/>
  <c r="AR99" i="4"/>
  <c r="AS99" i="4"/>
  <c r="AN99" i="4"/>
  <c r="AO99" i="4"/>
  <c r="AJ99" i="4"/>
  <c r="AK99" i="4"/>
  <c r="D93" i="4"/>
  <c r="AX93" i="4"/>
  <c r="E93" i="4"/>
  <c r="AY93" i="4"/>
  <c r="BA93" i="4" s="1"/>
  <c r="AV93" i="4"/>
  <c r="AW93" i="4"/>
  <c r="AR93" i="4"/>
  <c r="AS93" i="4"/>
  <c r="AN93" i="4"/>
  <c r="AO93" i="4"/>
  <c r="AJ93" i="4"/>
  <c r="AK93" i="4"/>
  <c r="AZ88" i="4"/>
  <c r="BA88" i="4"/>
  <c r="AZ84" i="4"/>
  <c r="BA84" i="4"/>
  <c r="AV85" i="4"/>
  <c r="AW85" i="4"/>
  <c r="AR85" i="4"/>
  <c r="AS85" i="4"/>
  <c r="AN85" i="4"/>
  <c r="AO85" i="4"/>
  <c r="AJ85" i="4"/>
  <c r="AK85" i="4"/>
  <c r="E85" i="4"/>
  <c r="AY85" i="4"/>
  <c r="D85" i="4"/>
  <c r="AX85" i="4"/>
  <c r="AZ85" i="4" s="1"/>
  <c r="AV78" i="4"/>
  <c r="AW78" i="4"/>
  <c r="AR78" i="4"/>
  <c r="AS78" i="4"/>
  <c r="AN78" i="4"/>
  <c r="AO78" i="4"/>
  <c r="AJ78" i="4"/>
  <c r="AK78" i="4"/>
  <c r="E78" i="4"/>
  <c r="AY78" i="4"/>
  <c r="D78" i="4"/>
  <c r="AX78" i="4"/>
  <c r="AZ78" i="4" s="1"/>
  <c r="AZ70" i="4"/>
  <c r="BA70" i="4"/>
  <c r="D71" i="4"/>
  <c r="AX71" i="4"/>
  <c r="AV71" i="4"/>
  <c r="AW71" i="4"/>
  <c r="AR71" i="4"/>
  <c r="AS71" i="4"/>
  <c r="AN71" i="4"/>
  <c r="AO71" i="4"/>
  <c r="AJ71" i="4"/>
  <c r="AK71" i="4"/>
  <c r="AZ64" i="4"/>
  <c r="BA64" i="4"/>
  <c r="E71" i="4"/>
  <c r="AY71" i="4"/>
  <c r="BA71" i="4" s="1"/>
  <c r="AZ60" i="4"/>
  <c r="BA60" i="4"/>
  <c r="AV59" i="4"/>
  <c r="AW59" i="4"/>
  <c r="AR59" i="4"/>
  <c r="AS59" i="4"/>
  <c r="AN59" i="4"/>
  <c r="AO59" i="4"/>
  <c r="AJ59" i="4"/>
  <c r="AK59" i="4"/>
  <c r="X59" i="4"/>
  <c r="Y59" i="4"/>
  <c r="T59" i="4"/>
  <c r="U59" i="4"/>
  <c r="L59" i="4"/>
  <c r="M59" i="4"/>
  <c r="E59" i="4"/>
  <c r="AY59" i="4"/>
  <c r="D59" i="4"/>
  <c r="AX59" i="4"/>
  <c r="AZ59" i="4" s="1"/>
  <c r="AZ54" i="4"/>
  <c r="BA54" i="4"/>
  <c r="BA48" i="4"/>
  <c r="AZ48" i="4"/>
  <c r="AV50" i="4"/>
  <c r="AW50" i="4"/>
  <c r="AR50" i="4"/>
  <c r="AS50" i="4"/>
  <c r="AN50" i="4"/>
  <c r="AO50" i="4"/>
  <c r="AJ50" i="4"/>
  <c r="AK50" i="4"/>
  <c r="L50" i="4"/>
  <c r="M50" i="4"/>
  <c r="E50" i="4"/>
  <c r="AY50" i="4"/>
  <c r="D50" i="4"/>
  <c r="AX50" i="4"/>
  <c r="AZ50" i="4" s="1"/>
  <c r="AV44" i="4"/>
  <c r="AW44" i="4"/>
  <c r="AR44" i="4"/>
  <c r="AS44" i="4"/>
  <c r="AN44" i="4"/>
  <c r="AO44" i="4"/>
  <c r="AJ44" i="4"/>
  <c r="AK44" i="4"/>
  <c r="AF44" i="4"/>
  <c r="AG44" i="4"/>
  <c r="AB44" i="4"/>
  <c r="AC44" i="4"/>
  <c r="Y44" i="4"/>
  <c r="X44" i="4"/>
  <c r="T44" i="4"/>
  <c r="U44" i="4"/>
  <c r="P44" i="4"/>
  <c r="Q44" i="4"/>
  <c r="L44" i="4"/>
  <c r="M44" i="4"/>
  <c r="H44" i="4"/>
  <c r="I44" i="4"/>
  <c r="E44" i="4"/>
  <c r="AY44" i="4"/>
  <c r="BA44" i="4" s="1"/>
  <c r="D44" i="4"/>
  <c r="AX44" i="4"/>
  <c r="AZ44" i="4" s="1"/>
  <c r="AT100" i="4"/>
  <c r="AV52" i="4"/>
  <c r="AR52" i="4"/>
  <c r="AP100" i="4"/>
  <c r="AL100" i="4"/>
  <c r="AN52" i="4"/>
  <c r="I41" i="4"/>
  <c r="G52" i="4"/>
  <c r="H41" i="4"/>
  <c r="F52" i="4"/>
  <c r="E41" i="4"/>
  <c r="C52" i="4"/>
  <c r="AY41" i="4"/>
  <c r="D41" i="4"/>
  <c r="AX41" i="4"/>
  <c r="AZ41" i="4" s="1"/>
  <c r="B52" i="4"/>
  <c r="B100" i="4" s="1"/>
  <c r="AV29" i="4"/>
  <c r="AW29" i="4"/>
  <c r="AR29" i="4"/>
  <c r="AS29" i="4"/>
  <c r="AN29" i="4"/>
  <c r="AO29" i="4"/>
  <c r="E29" i="4"/>
  <c r="AY29" i="4"/>
  <c r="D29" i="4"/>
  <c r="AX29" i="4"/>
  <c r="AZ29" i="4" s="1"/>
  <c r="AZ24" i="4"/>
  <c r="BA24" i="4"/>
  <c r="AZ23" i="4"/>
  <c r="BA23" i="4"/>
  <c r="AV25" i="4"/>
  <c r="AW25" i="4"/>
  <c r="AU100" i="4"/>
  <c r="AW100" i="4" s="1"/>
  <c r="AR25" i="4"/>
  <c r="AS25" i="4"/>
  <c r="AQ100" i="4"/>
  <c r="AS100" i="4" s="1"/>
  <c r="AN25" i="4"/>
  <c r="AO25" i="4"/>
  <c r="AM100" i="4"/>
  <c r="AO100" i="4" s="1"/>
  <c r="AK25" i="4"/>
  <c r="AI100" i="4"/>
  <c r="AG25" i="4"/>
  <c r="AE100" i="4"/>
  <c r="AC25" i="4"/>
  <c r="AA100" i="4"/>
  <c r="Y25" i="4"/>
  <c r="W100" i="4"/>
  <c r="U25" i="4"/>
  <c r="S100" i="4"/>
  <c r="U100" i="4" s="1"/>
  <c r="Q25" i="4"/>
  <c r="O100" i="4"/>
  <c r="Q100" i="4" s="1"/>
  <c r="M25" i="4"/>
  <c r="K100" i="4"/>
  <c r="M100" i="4" s="1"/>
  <c r="I25" i="4"/>
  <c r="G100" i="4"/>
  <c r="E25" i="4"/>
  <c r="AY25" i="4"/>
  <c r="BA25" i="4" s="1"/>
  <c r="C100" i="4"/>
  <c r="AJ25" i="4"/>
  <c r="AH100" i="4"/>
  <c r="AJ100" i="4" s="1"/>
  <c r="AF25" i="4"/>
  <c r="AD100" i="4"/>
  <c r="AF100" i="4" s="1"/>
  <c r="AB25" i="4"/>
  <c r="Z100" i="4"/>
  <c r="AB100" i="4" s="1"/>
  <c r="X25" i="4"/>
  <c r="V100" i="4"/>
  <c r="X100" i="4" s="1"/>
  <c r="T25" i="4"/>
  <c r="R100" i="4"/>
  <c r="P25" i="4"/>
  <c r="N100" i="4"/>
  <c r="L25" i="4"/>
  <c r="J100" i="4"/>
  <c r="H25" i="4"/>
  <c r="D25" i="4"/>
  <c r="AX25" i="4"/>
  <c r="AT18" i="4"/>
  <c r="AP18" i="4"/>
  <c r="AL18" i="4"/>
  <c r="AH18" i="4"/>
  <c r="AD18" i="4"/>
  <c r="Z18" i="4"/>
  <c r="V18" i="4"/>
  <c r="J18" i="4"/>
  <c r="B18" i="4"/>
  <c r="P11" i="4"/>
  <c r="N17" i="4"/>
  <c r="H11" i="4"/>
  <c r="F17" i="4"/>
  <c r="AX17" i="4" s="1"/>
  <c r="AW11" i="4"/>
  <c r="AU17" i="4"/>
  <c r="AV17" i="4" s="1"/>
  <c r="AS11" i="4"/>
  <c r="AQ17" i="4"/>
  <c r="AR17" i="4" s="1"/>
  <c r="AO11" i="4"/>
  <c r="AM17" i="4"/>
  <c r="AN17" i="4" s="1"/>
  <c r="AK11" i="4"/>
  <c r="AI17" i="4"/>
  <c r="AJ17" i="4" s="1"/>
  <c r="AG11" i="4"/>
  <c r="AE17" i="4"/>
  <c r="AF17" i="4" s="1"/>
  <c r="AC11" i="4"/>
  <c r="AA17" i="4"/>
  <c r="AB17" i="4" s="1"/>
  <c r="Y11" i="4"/>
  <c r="W17" i="4"/>
  <c r="X17" i="4" s="1"/>
  <c r="U11" i="4"/>
  <c r="S17" i="4"/>
  <c r="T11" i="4"/>
  <c r="R17" i="4"/>
  <c r="Q11" i="4"/>
  <c r="O17" i="4"/>
  <c r="M11" i="4"/>
  <c r="K17" i="4"/>
  <c r="L17" i="4" s="1"/>
  <c r="I11" i="4"/>
  <c r="G17" i="4"/>
  <c r="E11" i="4"/>
  <c r="AY11" i="4"/>
  <c r="C17" i="4"/>
  <c r="D17" i="4" s="1"/>
  <c r="BA86" i="4"/>
  <c r="BA83" i="4"/>
  <c r="BA82" i="4"/>
  <c r="AG85" i="4"/>
  <c r="AC85" i="4"/>
  <c r="Y85" i="4"/>
  <c r="U85" i="4"/>
  <c r="Q85" i="4"/>
  <c r="M85" i="4"/>
  <c r="I85" i="4"/>
  <c r="BA81" i="4"/>
  <c r="BA69" i="4"/>
  <c r="AB71" i="4"/>
  <c r="X71" i="4"/>
  <c r="BA65" i="4"/>
  <c r="H71" i="4"/>
  <c r="BA61" i="4"/>
  <c r="BA51" i="4"/>
  <c r="Y50" i="4"/>
  <c r="BA43" i="4"/>
  <c r="AW52" i="4"/>
  <c r="AS52" i="4"/>
  <c r="AK52" i="4"/>
  <c r="AC52" i="4"/>
  <c r="U52" i="4"/>
  <c r="Q52" i="4"/>
  <c r="BA37" i="4"/>
  <c r="U29" i="4"/>
  <c r="M29" i="4"/>
  <c r="I29" i="4"/>
  <c r="BA13" i="4"/>
  <c r="AZ10" i="4"/>
  <c r="AF78" i="4"/>
  <c r="AB78" i="4"/>
  <c r="H78" i="4"/>
  <c r="BA77" i="4"/>
  <c r="Y78" i="4"/>
  <c r="U78" i="4"/>
  <c r="Q78" i="4"/>
  <c r="M78" i="4"/>
  <c r="BA76" i="4"/>
  <c r="BA74" i="4"/>
  <c r="BA73" i="4"/>
  <c r="BA72" i="4"/>
  <c r="AZ68" i="4"/>
  <c r="AZ67" i="4"/>
  <c r="BA66" i="4"/>
  <c r="AF71" i="4"/>
  <c r="T71" i="4"/>
  <c r="P71" i="4"/>
  <c r="L71" i="4"/>
  <c r="BA62" i="4"/>
  <c r="AB59" i="4"/>
  <c r="AF59" i="4"/>
  <c r="P59" i="4"/>
  <c r="H59" i="4"/>
  <c r="BA57" i="4"/>
  <c r="BA53" i="4"/>
  <c r="AZ49" i="4"/>
  <c r="AG50" i="4"/>
  <c r="AC50" i="4"/>
  <c r="U50" i="4"/>
  <c r="Q50" i="4"/>
  <c r="I50" i="4"/>
  <c r="BA47" i="4"/>
  <c r="BA45" i="4"/>
  <c r="AO52" i="4"/>
  <c r="AG52" i="4"/>
  <c r="M52" i="4"/>
  <c r="BA38" i="4"/>
  <c r="AZ33" i="4"/>
  <c r="AZ32" i="4"/>
  <c r="BA31" i="4"/>
  <c r="AK29" i="4"/>
  <c r="AG29" i="4"/>
  <c r="Y29" i="4"/>
  <c r="BA16" i="4"/>
  <c r="BA27" i="4"/>
  <c r="BA9" i="4"/>
  <c r="BA98" i="4"/>
  <c r="Q99" i="4"/>
  <c r="M99" i="4"/>
  <c r="I99" i="4"/>
  <c r="BA97" i="4"/>
  <c r="AG99" i="4"/>
  <c r="AC99" i="4"/>
  <c r="Y99" i="4"/>
  <c r="U99" i="4"/>
  <c r="BA96" i="4"/>
  <c r="BA95" i="4"/>
  <c r="X93" i="4"/>
  <c r="L93" i="4"/>
  <c r="BA92" i="4"/>
  <c r="AC93" i="4"/>
  <c r="I93" i="4"/>
  <c r="AZ89" i="4"/>
  <c r="Q29" i="4"/>
  <c r="AF93" i="4"/>
  <c r="T93" i="4"/>
  <c r="AZ91" i="4"/>
  <c r="BA90" i="4"/>
  <c r="Q93" i="4"/>
  <c r="BA40" i="4"/>
  <c r="BA22" i="4"/>
  <c r="BA14" i="4"/>
  <c r="AY52" i="4" l="1"/>
  <c r="BA52" i="4" s="1"/>
  <c r="E52" i="4"/>
  <c r="AX52" i="4"/>
  <c r="D52" i="4"/>
  <c r="E100" i="4"/>
  <c r="AY100" i="4"/>
  <c r="D100" i="4"/>
  <c r="AX100" i="4"/>
  <c r="AZ100" i="4" s="1"/>
  <c r="AV18" i="4"/>
  <c r="AT101" i="4"/>
  <c r="AR18" i="4"/>
  <c r="AP101" i="4"/>
  <c r="AN18" i="4"/>
  <c r="AL101" i="4"/>
  <c r="AH101" i="4"/>
  <c r="AD101" i="4"/>
  <c r="Z101" i="4"/>
  <c r="V101" i="4"/>
  <c r="J101" i="4"/>
  <c r="B101" i="4"/>
  <c r="P17" i="4"/>
  <c r="N18" i="4"/>
  <c r="H17" i="4"/>
  <c r="F18" i="4"/>
  <c r="AX18" i="4" s="1"/>
  <c r="AW17" i="4"/>
  <c r="AU18" i="4"/>
  <c r="AS17" i="4"/>
  <c r="AQ18" i="4"/>
  <c r="AO17" i="4"/>
  <c r="AM18" i="4"/>
  <c r="AK17" i="4"/>
  <c r="AI18" i="4"/>
  <c r="AJ18" i="4" s="1"/>
  <c r="AG17" i="4"/>
  <c r="AE18" i="4"/>
  <c r="AF18" i="4" s="1"/>
  <c r="AC17" i="4"/>
  <c r="AA18" i="4"/>
  <c r="AB18" i="4" s="1"/>
  <c r="Y17" i="4"/>
  <c r="W18" i="4"/>
  <c r="X18" i="4" s="1"/>
  <c r="U17" i="4"/>
  <c r="S18" i="4"/>
  <c r="T17" i="4"/>
  <c r="R18" i="4"/>
  <c r="Q17" i="4"/>
  <c r="O18" i="4"/>
  <c r="M17" i="4"/>
  <c r="K18" i="4"/>
  <c r="L18" i="4" s="1"/>
  <c r="I17" i="4"/>
  <c r="G18" i="4"/>
  <c r="AZ11" i="4"/>
  <c r="BA11" i="4"/>
  <c r="E17" i="4"/>
  <c r="AY17" i="4"/>
  <c r="C18" i="4"/>
  <c r="D18" i="4" s="1"/>
  <c r="T100" i="4"/>
  <c r="P100" i="4"/>
  <c r="L100" i="4"/>
  <c r="AZ25" i="4"/>
  <c r="BA78" i="4"/>
  <c r="AZ71" i="4"/>
  <c r="AR100" i="4"/>
  <c r="BA41" i="4"/>
  <c r="BA29" i="4"/>
  <c r="AG100" i="4"/>
  <c r="AV100" i="4"/>
  <c r="AC100" i="4"/>
  <c r="I52" i="4"/>
  <c r="BA99" i="4"/>
  <c r="AZ93" i="4"/>
  <c r="BA85" i="4"/>
  <c r="BA59" i="4"/>
  <c r="BA50" i="4"/>
  <c r="AN100" i="4"/>
  <c r="AK100" i="4"/>
  <c r="Y100" i="4"/>
  <c r="H52" i="4"/>
  <c r="F100" i="4"/>
  <c r="AT102" i="4" l="1"/>
  <c r="AP102" i="4"/>
  <c r="AL102" i="4"/>
  <c r="AH102" i="4"/>
  <c r="AJ101" i="4"/>
  <c r="AD102" i="4"/>
  <c r="AF101" i="4"/>
  <c r="Z102" i="4"/>
  <c r="AB101" i="4"/>
  <c r="X101" i="4"/>
  <c r="V102" i="4"/>
  <c r="L101" i="4"/>
  <c r="J102" i="4"/>
  <c r="D101" i="4"/>
  <c r="B102" i="4"/>
  <c r="P18" i="4"/>
  <c r="N101" i="4"/>
  <c r="H18" i="4"/>
  <c r="F101" i="4"/>
  <c r="AX101" i="4" s="1"/>
  <c r="AW18" i="4"/>
  <c r="AU101" i="4"/>
  <c r="AV101" i="4" s="1"/>
  <c r="AS18" i="4"/>
  <c r="AQ101" i="4"/>
  <c r="AR101" i="4" s="1"/>
  <c r="AO18" i="4"/>
  <c r="AM101" i="4"/>
  <c r="AN101" i="4" s="1"/>
  <c r="AK18" i="4"/>
  <c r="AI101" i="4"/>
  <c r="AG18" i="4"/>
  <c r="AE101" i="4"/>
  <c r="AC18" i="4"/>
  <c r="AA101" i="4"/>
  <c r="Y18" i="4"/>
  <c r="W101" i="4"/>
  <c r="U18" i="4"/>
  <c r="S101" i="4"/>
  <c r="T18" i="4"/>
  <c r="R101" i="4"/>
  <c r="Q18" i="4"/>
  <c r="O101" i="4"/>
  <c r="M18" i="4"/>
  <c r="K101" i="4"/>
  <c r="I18" i="4"/>
  <c r="G101" i="4"/>
  <c r="AZ17" i="4"/>
  <c r="BA17" i="4"/>
  <c r="E18" i="4"/>
  <c r="AY18" i="4"/>
  <c r="C101" i="4"/>
  <c r="I100" i="4"/>
  <c r="H100" i="4"/>
  <c r="AZ52" i="4"/>
  <c r="BA100" i="4"/>
  <c r="N102" i="4" l="1"/>
  <c r="P101" i="4"/>
  <c r="H101" i="4"/>
  <c r="F102" i="4"/>
  <c r="AX102" i="4" s="1"/>
  <c r="AW101" i="4"/>
  <c r="AU102" i="4"/>
  <c r="AQ102" i="4"/>
  <c r="AS101" i="4"/>
  <c r="AO101" i="4"/>
  <c r="AM102" i="4"/>
  <c r="AK101" i="4"/>
  <c r="AI102" i="4"/>
  <c r="AG101" i="4"/>
  <c r="AE102" i="4"/>
  <c r="AC101" i="4"/>
  <c r="AA102" i="4"/>
  <c r="Y101" i="4"/>
  <c r="W102" i="4"/>
  <c r="U101" i="4"/>
  <c r="S102" i="4"/>
  <c r="R102" i="4"/>
  <c r="T102" i="4" s="1"/>
  <c r="T101" i="4"/>
  <c r="Q101" i="4"/>
  <c r="O102" i="4"/>
  <c r="Q102" i="4" s="1"/>
  <c r="M101" i="4"/>
  <c r="K102" i="4"/>
  <c r="I101" i="4"/>
  <c r="G102" i="4"/>
  <c r="I102" i="4" s="1"/>
  <c r="AZ18" i="4"/>
  <c r="BA18" i="4"/>
  <c r="E101" i="4"/>
  <c r="AY101" i="4"/>
  <c r="C102" i="4"/>
  <c r="D102" i="4" s="1"/>
  <c r="AV102" i="4" l="1"/>
  <c r="AW102" i="4"/>
  <c r="AR102" i="4"/>
  <c r="AS102" i="4"/>
  <c r="AN102" i="4"/>
  <c r="AO102" i="4"/>
  <c r="AJ102" i="4"/>
  <c r="AK102" i="4"/>
  <c r="AF102" i="4"/>
  <c r="AG102" i="4"/>
  <c r="AB102" i="4"/>
  <c r="AC102" i="4"/>
  <c r="X102" i="4"/>
  <c r="Y102" i="4"/>
  <c r="L102" i="4"/>
  <c r="M102" i="4"/>
  <c r="AZ101" i="4"/>
  <c r="BA101" i="4"/>
  <c r="E102" i="4"/>
  <c r="AY102" i="4"/>
  <c r="U102" i="4"/>
  <c r="P102" i="4"/>
  <c r="H102" i="4"/>
  <c r="AZ102" i="4" l="1"/>
  <c r="BA102" i="4"/>
</calcChain>
</file>

<file path=xl/sharedStrings.xml><?xml version="1.0" encoding="utf-8"?>
<sst xmlns="http://schemas.openxmlformats.org/spreadsheetml/2006/main" count="309" uniqueCount="248">
  <si>
    <t>Statistics</t>
  </si>
  <si>
    <t>2025 Sept</t>
  </si>
  <si>
    <t>2026 Sept</t>
  </si>
  <si>
    <t>% change</t>
  </si>
  <si>
    <t>YTD 2025</t>
  </si>
  <si>
    <t>YTD 2026</t>
  </si>
  <si>
    <t>Circulation</t>
  </si>
  <si>
    <t>Reference Questions</t>
  </si>
  <si>
    <t>Program attendance</t>
  </si>
  <si>
    <t>People counter</t>
  </si>
  <si>
    <t>Hoopla</t>
  </si>
  <si>
    <t>OverDrive</t>
  </si>
  <si>
    <t>Comic+</t>
  </si>
  <si>
    <t>Interlibrary Loans</t>
  </si>
  <si>
    <t>Number of items borrowed</t>
  </si>
  <si>
    <t>Number of items loaned</t>
  </si>
  <si>
    <t>AspenCat</t>
  </si>
  <si>
    <t>Borrowed</t>
  </si>
  <si>
    <t>Loan</t>
  </si>
  <si>
    <t>Registered Patrons</t>
  </si>
  <si>
    <t>New cards</t>
  </si>
  <si>
    <t>Total number of card holders</t>
  </si>
  <si>
    <t>Resident</t>
  </si>
  <si>
    <t>Non- Resident</t>
  </si>
  <si>
    <t>Collection</t>
  </si>
  <si>
    <t>Materials added</t>
  </si>
  <si>
    <t>Materials withdrawn</t>
  </si>
  <si>
    <t>Total materials owned</t>
  </si>
  <si>
    <t>Technology</t>
  </si>
  <si>
    <t>Computer use</t>
  </si>
  <si>
    <t xml:space="preserve">Web usage </t>
  </si>
  <si>
    <t>Tech Coaching</t>
  </si>
  <si>
    <t>Volunteer hours worked</t>
  </si>
  <si>
    <t>Berthoud Community Library District</t>
  </si>
  <si>
    <t>Balance Sheet</t>
  </si>
  <si>
    <t>As of Aug 31, 2026</t>
  </si>
  <si>
    <t/>
  </si>
  <si>
    <t>Total</t>
  </si>
  <si>
    <t>Assets</t>
  </si>
  <si>
    <t>Current Assets</t>
  </si>
  <si>
    <t>Bank Accounts</t>
  </si>
  <si>
    <t>10000 Independent Bank Checking</t>
  </si>
  <si>
    <t>ColoTrust</t>
  </si>
  <si>
    <t>Independent Bank Savings</t>
  </si>
  <si>
    <t>Building fund cash</t>
  </si>
  <si>
    <t>Total for Independent Bank Savings</t>
  </si>
  <si>
    <t>Petty Cash</t>
  </si>
  <si>
    <t>Total for Bank Accounts</t>
  </si>
  <si>
    <t>Accounts Receivable</t>
  </si>
  <si>
    <t>12000 Property Taxes Receivable</t>
  </si>
  <si>
    <t>Total for Accounts Receivable</t>
  </si>
  <si>
    <t>Other Current Assets</t>
  </si>
  <si>
    <t>15150 Payroll Clearing</t>
  </si>
  <si>
    <t>Building Fund CD 0405</t>
  </si>
  <si>
    <t>Building Fund CD 1014</t>
  </si>
  <si>
    <t>Payroll Corrections</t>
  </si>
  <si>
    <t>Total for Other Current Assets</t>
  </si>
  <si>
    <t>Total for Current Assets</t>
  </si>
  <si>
    <t>Fixed Assets</t>
  </si>
  <si>
    <t>Building</t>
  </si>
  <si>
    <t>Remodel</t>
  </si>
  <si>
    <t>Total for Fixed Assets</t>
  </si>
  <si>
    <t>Other Assets</t>
  </si>
  <si>
    <t>Deposits</t>
  </si>
  <si>
    <t>Total for Other Assets</t>
  </si>
  <si>
    <t>Total for Assets</t>
  </si>
  <si>
    <t>Liabilities and Equity</t>
  </si>
  <si>
    <t>Liabilities</t>
  </si>
  <si>
    <t>Current Liabilities</t>
  </si>
  <si>
    <t>Accounts Payable</t>
  </si>
  <si>
    <t>20000 Accounts Payable</t>
  </si>
  <si>
    <t>Total for Accounts Payable</t>
  </si>
  <si>
    <t>Other Current Liabilities</t>
  </si>
  <si>
    <t>22000 Payroll Liabilities</t>
  </si>
  <si>
    <t>22100 CO Income Tax</t>
  </si>
  <si>
    <t>22200 CO Unemployment Tax</t>
  </si>
  <si>
    <t>22300 Federal Taxes (941)</t>
  </si>
  <si>
    <t>22400 Federal Unemployment (940)</t>
  </si>
  <si>
    <t>Total for 22000 Payroll Liabilities</t>
  </si>
  <si>
    <t>22001 PayrollClearing</t>
  </si>
  <si>
    <t>23000 Deferred Infows Property Taxes</t>
  </si>
  <si>
    <t>Direct Deposit Liabilities</t>
  </si>
  <si>
    <t>Total for Other Current Liabilities</t>
  </si>
  <si>
    <t>Total for Current Liabilities</t>
  </si>
  <si>
    <t>Long-term Liabilities</t>
  </si>
  <si>
    <t>TOB Roof Repairs</t>
  </si>
  <si>
    <t>Total for Long-term Liabilities</t>
  </si>
  <si>
    <t>Total for Liabilities</t>
  </si>
  <si>
    <t>Equity</t>
  </si>
  <si>
    <t>2011 Budget Transfer</t>
  </si>
  <si>
    <t>30000 Opening Balance Equity</t>
  </si>
  <si>
    <t>Building Fund Reserve</t>
  </si>
  <si>
    <t>Literacy Fund Reserve</t>
  </si>
  <si>
    <t>Remodeling</t>
  </si>
  <si>
    <t>TABOR Reserve</t>
  </si>
  <si>
    <t>32000 *Fund Balance Unreserved</t>
  </si>
  <si>
    <t>Net Income</t>
  </si>
  <si>
    <t>Total for Equity</t>
  </si>
  <si>
    <t>Total for Liabilities and Equity</t>
  </si>
  <si>
    <t>Accrual Basis Friday, September 11, 2026 12:44 PM GMT-06:00</t>
  </si>
  <si>
    <t xml:space="preserve">Budget vs. Actuals: Budget_FY26_P&amp;L_1 - FY26 P&amp;L </t>
  </si>
  <si>
    <t>January - December 2026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</si>
  <si>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</si>
  <si>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</si>
  <si>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</si>
  <si>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</si>
  <si>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</si>
  <si>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</si>
  <si>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</si>
  <si>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</si>
  <si>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</si>
  <si>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</si>
  <si>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</si>
  <si>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Dec 2026</t>
  </si>
  <si>
    <t>Actual</t>
  </si>
  <si>
    <t>Budget</t>
  </si>
  <si>
    <t>over Budget</t>
  </si>
  <si>
    <t>% of Budget</t>
  </si>
  <si>
    <t>Income</t>
  </si>
  <si>
    <t xml:space="preserve">   40010 Donations</t>
  </si>
  <si>
    <t xml:space="preserve">      Grants</t>
  </si>
  <si>
    <t xml:space="preserve">      Memorials/Designated</t>
  </si>
  <si>
    <t xml:space="preserve">   Total 40010 Donations</t>
  </si>
  <si>
    <t xml:space="preserve">   Copies</t>
  </si>
  <si>
    <t xml:space="preserve">   Fees</t>
  </si>
  <si>
    <t xml:space="preserve">   Interest Earned</t>
  </si>
  <si>
    <t xml:space="preserve">   Property Tax</t>
  </si>
  <si>
    <t xml:space="preserve">   SOT Tax</t>
  </si>
  <si>
    <t>Total Income</t>
  </si>
  <si>
    <t>Gross Profit</t>
  </si>
  <si>
    <t>Expenses</t>
  </si>
  <si>
    <t xml:space="preserve">   60000 Insurance</t>
  </si>
  <si>
    <t xml:space="preserve">      60100 Aflac</t>
  </si>
  <si>
    <t xml:space="preserve">      60200 Medical/Dental/Vision</t>
  </si>
  <si>
    <t xml:space="preserve">      60250 Property &amp; Liability</t>
  </si>
  <si>
    <t xml:space="preserve">      60350 Worker's Compensation</t>
  </si>
  <si>
    <t xml:space="preserve">   Total 60000 Insurance</t>
  </si>
  <si>
    <t xml:space="preserve">   66000 Payroll Expense</t>
  </si>
  <si>
    <t xml:space="preserve">      66100 Payroll Tax Expense</t>
  </si>
  <si>
    <t xml:space="preserve">      66200 Salaries</t>
  </si>
  <si>
    <t xml:space="preserve">   Total 66000 Payroll Expense</t>
  </si>
  <si>
    <t xml:space="preserve">   67000 Treasurer fees</t>
  </si>
  <si>
    <t xml:space="preserve">   Accounting / Payroll Service</t>
  </si>
  <si>
    <t xml:space="preserve">   Advertising</t>
  </si>
  <si>
    <t xml:space="preserve">   Attorney</t>
  </si>
  <si>
    <t xml:space="preserve">   Bank Fees</t>
  </si>
  <si>
    <t xml:space="preserve">   Collection Development</t>
  </si>
  <si>
    <t xml:space="preserve">      Audiovisual</t>
  </si>
  <si>
    <t xml:space="preserve">         Adult Audiobooks</t>
  </si>
  <si>
    <t xml:space="preserve">         Children's Audiobooks</t>
  </si>
  <si>
    <t xml:space="preserve">         DVD - Adult</t>
  </si>
  <si>
    <t xml:space="preserve">         DVD - Youth</t>
  </si>
  <si>
    <t xml:space="preserve">      Total Audiovisual</t>
  </si>
  <si>
    <t xml:space="preserve">      Digital Materials</t>
  </si>
  <si>
    <t xml:space="preserve">         E Books</t>
  </si>
  <si>
    <t xml:space="preserve">      Total Digital Materials</t>
  </si>
  <si>
    <t xml:space="preserve">      Online Resources</t>
  </si>
  <si>
    <t xml:space="preserve">      Print Materials</t>
  </si>
  <si>
    <t xml:space="preserve">         Adult</t>
  </si>
  <si>
    <t xml:space="preserve">         Children's</t>
  </si>
  <si>
    <t xml:space="preserve">         Periodicals</t>
  </si>
  <si>
    <t xml:space="preserve">      Total Print Materials</t>
  </si>
  <si>
    <t xml:space="preserve">      Video Streaming</t>
  </si>
  <si>
    <t xml:space="preserve">   Total Collection Development</t>
  </si>
  <si>
    <t xml:space="preserve">   Copier Lease</t>
  </si>
  <si>
    <t xml:space="preserve">   Courier</t>
  </si>
  <si>
    <t xml:space="preserve">   Donation</t>
  </si>
  <si>
    <t xml:space="preserve">      Undesignated</t>
  </si>
  <si>
    <t xml:space="preserve">   Total Donation</t>
  </si>
  <si>
    <t xml:space="preserve">   Furnishings</t>
  </si>
  <si>
    <t xml:space="preserve">   Hospitality</t>
  </si>
  <si>
    <t xml:space="preserve">   Lost book refund</t>
  </si>
  <si>
    <t xml:space="preserve">   Maintenance</t>
  </si>
  <si>
    <t xml:space="preserve">      Carpet Cleaning</t>
  </si>
  <si>
    <t xml:space="preserve">      Custodial Services</t>
  </si>
  <si>
    <t xml:space="preserve">      Lawn Care/Snow Removal</t>
  </si>
  <si>
    <t xml:space="preserve">      Repairs</t>
  </si>
  <si>
    <t xml:space="preserve">      Security/Alarm</t>
  </si>
  <si>
    <t xml:space="preserve">      Supplies</t>
  </si>
  <si>
    <t xml:space="preserve">      Window Cleaning</t>
  </si>
  <si>
    <t xml:space="preserve">   Total Maintenance</t>
  </si>
  <si>
    <t xml:space="preserve">   Pension</t>
  </si>
  <si>
    <t xml:space="preserve">   Professional Development</t>
  </si>
  <si>
    <t xml:space="preserve">   Professional Memberships</t>
  </si>
  <si>
    <t xml:space="preserve">   Programming</t>
  </si>
  <si>
    <t xml:space="preserve">      Adult</t>
  </si>
  <si>
    <t xml:space="preserve">      Youth</t>
  </si>
  <si>
    <t xml:space="preserve">   Total Programming</t>
  </si>
  <si>
    <t xml:space="preserve">   Programming supplies</t>
  </si>
  <si>
    <t xml:space="preserve">   Supplies</t>
  </si>
  <si>
    <t xml:space="preserve">      Library Supplies</t>
  </si>
  <si>
    <t xml:space="preserve">      Office Supplies</t>
  </si>
  <si>
    <t xml:space="preserve">      Programming supplies</t>
  </si>
  <si>
    <t xml:space="preserve">      Staff Appreciation</t>
  </si>
  <si>
    <t xml:space="preserve">   Total Supplies</t>
  </si>
  <si>
    <t xml:space="preserve">   Tax Collection Fees</t>
  </si>
  <si>
    <t xml:space="preserve">   Technology</t>
  </si>
  <si>
    <t xml:space="preserve">      Computer Maintenance</t>
  </si>
  <si>
    <t xml:space="preserve">      Hardware</t>
  </si>
  <si>
    <t xml:space="preserve">      ILS</t>
  </si>
  <si>
    <t xml:space="preserve">      Office Equipment</t>
  </si>
  <si>
    <t xml:space="preserve">      Software</t>
  </si>
  <si>
    <t xml:space="preserve">   Total Technology</t>
  </si>
  <si>
    <t xml:space="preserve">   Utilities</t>
  </si>
  <si>
    <t xml:space="preserve">      Data Connection</t>
  </si>
  <si>
    <t xml:space="preserve">      Power</t>
  </si>
  <si>
    <t xml:space="preserve">      Trash Removal</t>
  </si>
  <si>
    <t xml:space="preserve">      Water</t>
  </si>
  <si>
    <t xml:space="preserve">   Total Utilities</t>
  </si>
  <si>
    <t>Total Expenses</t>
  </si>
  <si>
    <t>Net Operating Income</t>
  </si>
  <si>
    <t>Friday, Sep 11, 2026 11:46:00 AM GMT-7 - Accrual Basis</t>
  </si>
  <si>
    <t>Expenses by Vendor Summary</t>
  </si>
  <si>
    <t>August 2026</t>
  </si>
  <si>
    <t>Aflac</t>
  </si>
  <si>
    <t>Amazon</t>
  </si>
  <si>
    <t>Canon Financial Services, Inc.</t>
  </si>
  <si>
    <t>Cardmember Services</t>
  </si>
  <si>
    <t>Center Point Large Print</t>
  </si>
  <si>
    <t>Charles Schwab</t>
  </si>
  <si>
    <t>Colegate Heating, Inc.</t>
  </si>
  <si>
    <t>Comcast - Business</t>
  </si>
  <si>
    <t>CU Science Discovery</t>
  </si>
  <si>
    <t>Demco - supplies</t>
  </si>
  <si>
    <t>EasyTrack Payroll</t>
  </si>
  <si>
    <t>Hay's Market</t>
  </si>
  <si>
    <t>Ingram</t>
  </si>
  <si>
    <t>Kelly J Brazzil</t>
  </si>
  <si>
    <t>Midwest Tape</t>
  </si>
  <si>
    <t>Mountain View Commercial Cleaning</t>
  </si>
  <si>
    <t>Public Sector Health Care Group</t>
  </si>
  <si>
    <t>South State Bank</t>
  </si>
  <si>
    <t>The Times Call</t>
  </si>
  <si>
    <t>Town of Berthoud - Water</t>
  </si>
  <si>
    <t>United Waste Systems</t>
  </si>
  <si>
    <t>Xcel Energy</t>
  </si>
  <si>
    <t>Not specified</t>
  </si>
  <si>
    <t>TOTAL</t>
  </si>
  <si>
    <t>Date</t>
  </si>
  <si>
    <t>Name</t>
  </si>
  <si>
    <t>Amount</t>
  </si>
  <si>
    <t>AMAZON MKTPL*561LN5AZ0 SEATTLE       WA</t>
  </si>
  <si>
    <t>Youth Programming</t>
  </si>
  <si>
    <t>Adobe                  San Jose      CA</t>
  </si>
  <si>
    <t>Monthly Subscription</t>
  </si>
  <si>
    <t>CU BLDR PKNG SVCS MTR  BOULDER       CO</t>
  </si>
  <si>
    <t>INTERNET PAYMENT THANK YOU</t>
  </si>
  <si>
    <t>INTUIT *QBooks Online  SAN DIEGO     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</si>
</sst>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#,##0.00\ _€"/>
    <numFmt numFmtId="166" formatCode="&quot;$&quot;* #,##0.00\ _€"/>
  </numFmts>
  <fonts count="19" x14ac:knownFonts="1">
    <font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ptos Narrow"/>
      <family val="2"/>
      <scheme val="minor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indexed="8"/>
      <name val="Aptos Narrow"/>
      <family val="2"/>
      <scheme val="minor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0" fontId="9" fillId="0" borderId="1"/>
    <xf numFmtId="0" fontId="13" fillId="0" borderId="0"/>
  </cellStyleXfs>
  <cellXfs count="51">
    <xf numFmtId="0" fontId="0" fillId="0" borderId="0" xfId="0"/>
    <xf numFmtId="0" fontId="1" fillId="0" borderId="0" xfId="0" applyFont="1" applyAlignment="1">
      <alignment horizontal="center"/>
    </xf>
    <xf numFmtId="17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1" fontId="0" fillId="0" borderId="0" xfId="0" applyNumberFormat="1"/>
    <xf numFmtId="9" fontId="0" fillId="0" borderId="0" xfId="0" applyNumberFormat="1"/>
    <xf numFmtId="0" fontId="4" fillId="0" borderId="0" xfId="0" applyFont="1" applyAlignment="1">
      <alignment wrapText="1"/>
    </xf>
    <xf numFmtId="0" fontId="5" fillId="0" borderId="0" xfId="0" applyFont="1"/>
    <xf numFmtId="0" fontId="3" fillId="0" borderId="0" xfId="0" applyFont="1" applyAlignment="1">
      <alignment wrapText="1"/>
    </xf>
    <xf numFmtId="0" fontId="6" fillId="0" borderId="0" xfId="1" applyFont="1" applyAlignment="1">
      <alignment horizontal="center" wrapText="1"/>
    </xf>
    <xf numFmtId="0" fontId="2" fillId="0" borderId="0" xfId="1" applyAlignment="1">
      <alignment wrapText="1"/>
    </xf>
    <xf numFmtId="0" fontId="2" fillId="0" borderId="0" xfId="1"/>
    <xf numFmtId="0" fontId="7" fillId="0" borderId="0" xfId="1" applyFont="1" applyAlignment="1">
      <alignment horizontal="center" wrapText="1"/>
    </xf>
    <xf numFmtId="0" fontId="8" fillId="0" borderId="0" xfId="1" applyFont="1" applyAlignment="1">
      <alignment horizontal="center" wrapText="1"/>
    </xf>
    <xf numFmtId="0" fontId="10" fillId="0" borderId="1" xfId="2" applyFont="1" applyAlignment="1">
      <alignment horizontal="center" wrapText="1"/>
    </xf>
    <xf numFmtId="0" fontId="11" fillId="0" borderId="0" xfId="1" applyFont="1" applyAlignment="1">
      <alignment horizontal="left" wrapText="1"/>
    </xf>
    <xf numFmtId="0" fontId="2" fillId="0" borderId="0" xfId="1" applyAlignment="1">
      <alignment wrapText="1"/>
    </xf>
    <xf numFmtId="0" fontId="11" fillId="0" borderId="0" xfId="1" applyFont="1" applyAlignment="1">
      <alignment horizontal="left" wrapText="1" indent="1"/>
    </xf>
    <xf numFmtId="0" fontId="11" fillId="0" borderId="0" xfId="1" applyFont="1" applyAlignment="1">
      <alignment horizontal="left" wrapText="1" indent="2"/>
    </xf>
    <xf numFmtId="0" fontId="11" fillId="0" borderId="0" xfId="1" applyFont="1" applyAlignment="1">
      <alignment horizontal="left" wrapText="1" indent="3"/>
    </xf>
    <xf numFmtId="4" fontId="11" fillId="0" borderId="0" xfId="1" applyNumberFormat="1" applyFont="1" applyAlignment="1">
      <alignment wrapText="1"/>
    </xf>
    <xf numFmtId="0" fontId="11" fillId="0" borderId="0" xfId="1" applyFont="1" applyAlignment="1">
      <alignment horizontal="left" wrapText="1" indent="4"/>
    </xf>
    <xf numFmtId="0" fontId="12" fillId="0" borderId="0" xfId="1" applyFont="1" applyAlignment="1">
      <alignment horizontal="left" wrapText="1" indent="3"/>
    </xf>
    <xf numFmtId="164" fontId="12" fillId="0" borderId="2" xfId="1" applyNumberFormat="1" applyFont="1" applyBorder="1" applyAlignment="1">
      <alignment wrapText="1"/>
    </xf>
    <xf numFmtId="0" fontId="12" fillId="0" borderId="0" xfId="1" applyFont="1" applyAlignment="1">
      <alignment horizontal="left" wrapText="1" indent="2"/>
    </xf>
    <xf numFmtId="164" fontId="11" fillId="0" borderId="0" xfId="1" applyNumberFormat="1" applyFont="1" applyAlignment="1">
      <alignment wrapText="1"/>
    </xf>
    <xf numFmtId="0" fontId="12" fillId="0" borderId="0" xfId="1" applyFont="1" applyAlignment="1">
      <alignment horizontal="left" wrapText="1" indent="1"/>
    </xf>
    <xf numFmtId="0" fontId="12" fillId="0" borderId="0" xfId="1" applyFont="1" applyAlignment="1">
      <alignment horizontal="left" wrapText="1"/>
    </xf>
    <xf numFmtId="0" fontId="11" fillId="0" borderId="0" xfId="1" applyFont="1" applyAlignment="1">
      <alignment horizontal="left" wrapText="1" indent="5"/>
    </xf>
    <xf numFmtId="0" fontId="12" fillId="0" borderId="0" xfId="1" applyFont="1" applyAlignment="1">
      <alignment horizontal="left" wrapText="1" indent="4"/>
    </xf>
    <xf numFmtId="0" fontId="11" fillId="0" borderId="0" xfId="1" applyFont="1" applyAlignment="1">
      <alignment horizontal="center" wrapText="1"/>
    </xf>
    <xf numFmtId="0" fontId="14" fillId="0" borderId="0" xfId="3" applyFont="1" applyAlignment="1">
      <alignment horizontal="center"/>
    </xf>
    <xf numFmtId="0" fontId="13" fillId="0" borderId="0" xfId="3"/>
    <xf numFmtId="0" fontId="13" fillId="0" borderId="0" xfId="3"/>
    <xf numFmtId="0" fontId="15" fillId="0" borderId="0" xfId="3" applyFont="1" applyAlignment="1">
      <alignment horizontal="center"/>
    </xf>
    <xf numFmtId="0" fontId="13" fillId="0" borderId="0" xfId="3" applyAlignment="1">
      <alignment wrapText="1"/>
    </xf>
    <xf numFmtId="0" fontId="16" fillId="0" borderId="1" xfId="3" applyFont="1" applyBorder="1" applyAlignment="1">
      <alignment horizontal="center" wrapText="1"/>
    </xf>
    <xf numFmtId="0" fontId="13" fillId="0" borderId="0" xfId="3" applyAlignment="1">
      <alignment wrapText="1"/>
    </xf>
    <xf numFmtId="0" fontId="16" fillId="0" borderId="1" xfId="3" applyFont="1" applyBorder="1" applyAlignment="1">
      <alignment horizontal="center" wrapText="1"/>
    </xf>
    <xf numFmtId="0" fontId="17" fillId="0" borderId="0" xfId="3" applyFont="1" applyAlignment="1">
      <alignment horizontal="left" wrapText="1"/>
    </xf>
    <xf numFmtId="165" fontId="18" fillId="0" borderId="0" xfId="3" applyNumberFormat="1" applyFont="1" applyAlignment="1">
      <alignment wrapText="1"/>
    </xf>
    <xf numFmtId="165" fontId="18" fillId="0" borderId="0" xfId="3" applyNumberFormat="1" applyFont="1" applyAlignment="1">
      <alignment horizontal="right" wrapText="1"/>
    </xf>
    <xf numFmtId="10" fontId="18" fillId="0" borderId="0" xfId="3" applyNumberFormat="1" applyFont="1" applyAlignment="1">
      <alignment horizontal="right" wrapText="1"/>
    </xf>
    <xf numFmtId="166" fontId="17" fillId="0" borderId="2" xfId="3" applyNumberFormat="1" applyFont="1" applyBorder="1" applyAlignment="1">
      <alignment horizontal="right" wrapText="1"/>
    </xf>
    <xf numFmtId="10" fontId="17" fillId="0" borderId="2" xfId="3" applyNumberFormat="1" applyFont="1" applyBorder="1" applyAlignment="1">
      <alignment horizontal="right" wrapText="1"/>
    </xf>
    <xf numFmtId="0" fontId="18" fillId="0" borderId="0" xfId="3" applyFont="1" applyAlignment="1">
      <alignment horizontal="center"/>
    </xf>
    <xf numFmtId="0" fontId="12" fillId="0" borderId="2" xfId="1" applyFont="1" applyBorder="1" applyAlignment="1">
      <alignment horizontal="left" wrapText="1"/>
    </xf>
    <xf numFmtId="14" fontId="0" fillId="0" borderId="0" xfId="0" applyNumberFormat="1"/>
  </cellXfs>
  <cellStyles count="4">
    <cellStyle name="HeaderCellStyle" xfId="2" xr:uid="{0CB744E8-518F-4673-BBCD-F33588838231}"/>
    <cellStyle name="Normal" xfId="0" builtinId="0"/>
    <cellStyle name="Normal 2" xfId="1" xr:uid="{39CFC68A-433D-4957-A06C-82596796C128}"/>
    <cellStyle name="Normal 3" xfId="3" xr:uid="{15E6E4BA-2ED6-4F5A-8D20-F80DFDDCC9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STATISTICS\2011-2026%20Stats\2026%20Statistics.xlsx" TargetMode="External"/><Relationship Id="rId1" Type="http://schemas.openxmlformats.org/officeDocument/2006/relationships/externalLinkPath" Target="file:///Z:\STATISTICS\2011-2026%20Stats\2026%20Statisti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an"/>
      <sheetName val="Sheet1"/>
      <sheetName val="Feb"/>
      <sheetName val="March"/>
      <sheetName val="April"/>
      <sheetName val="May"/>
      <sheetName val="June"/>
      <sheetName val="July"/>
      <sheetName val="Aug"/>
      <sheetName val="Sept"/>
      <sheetName val="Oct"/>
      <sheetName val="Nov"/>
      <sheetName val="Dec"/>
      <sheetName val="Program Information"/>
      <sheetName val="Podca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4">
          <cell r="F4">
            <v>52889</v>
          </cell>
          <cell r="G4">
            <v>55998</v>
          </cell>
        </row>
        <row r="5">
          <cell r="F5">
            <v>0</v>
          </cell>
          <cell r="G5">
            <v>0</v>
          </cell>
        </row>
        <row r="6">
          <cell r="F6">
            <v>4020</v>
          </cell>
          <cell r="G6">
            <v>3426</v>
          </cell>
        </row>
        <row r="7">
          <cell r="F7">
            <v>28781</v>
          </cell>
          <cell r="G7">
            <v>31937</v>
          </cell>
        </row>
        <row r="8">
          <cell r="F8">
            <v>2256</v>
          </cell>
          <cell r="G8">
            <v>1851</v>
          </cell>
        </row>
        <row r="9">
          <cell r="F9">
            <v>7606</v>
          </cell>
          <cell r="G9">
            <v>8838</v>
          </cell>
        </row>
        <row r="10">
          <cell r="F10">
            <v>126</v>
          </cell>
          <cell r="G10">
            <v>5</v>
          </cell>
        </row>
        <row r="12">
          <cell r="F12">
            <v>326</v>
          </cell>
          <cell r="G12">
            <v>411</v>
          </cell>
        </row>
        <row r="13">
          <cell r="F13">
            <v>428</v>
          </cell>
          <cell r="G13">
            <v>376</v>
          </cell>
        </row>
        <row r="16">
          <cell r="F16">
            <v>5820</v>
          </cell>
          <cell r="G16">
            <v>6292</v>
          </cell>
        </row>
        <row r="17">
          <cell r="F17">
            <v>2605</v>
          </cell>
          <cell r="G17">
            <v>2711</v>
          </cell>
        </row>
        <row r="20">
          <cell r="F20">
            <v>731</v>
          </cell>
          <cell r="G20">
            <v>876</v>
          </cell>
        </row>
        <row r="26">
          <cell r="F26">
            <v>2416</v>
          </cell>
          <cell r="G26">
            <v>2064</v>
          </cell>
        </row>
        <row r="27">
          <cell r="F27">
            <v>2646</v>
          </cell>
          <cell r="G27">
            <v>1658</v>
          </cell>
        </row>
        <row r="31">
          <cell r="F31">
            <v>2601</v>
          </cell>
          <cell r="G31">
            <v>2916</v>
          </cell>
        </row>
        <row r="32">
          <cell r="F32">
            <v>50953</v>
          </cell>
          <cell r="G32">
            <v>38954</v>
          </cell>
        </row>
        <row r="33">
          <cell r="F33">
            <v>1911</v>
          </cell>
          <cell r="G33">
            <v>1516</v>
          </cell>
        </row>
        <row r="35">
          <cell r="F35">
            <v>249</v>
          </cell>
          <cell r="G35">
            <v>331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B09A3-78A1-4D65-B0D6-F867F18B0324}">
  <dimension ref="A1:H36"/>
  <sheetViews>
    <sheetView tabSelected="1" view="pageLayout" zoomScale="125" zoomScaleNormal="125" zoomScalePageLayoutView="125" workbookViewId="0">
      <selection activeCell="C7" sqref="C7"/>
    </sheetView>
  </sheetViews>
  <sheetFormatPr defaultColWidth="8.6640625" defaultRowHeight="15.6" x14ac:dyDescent="0.3"/>
  <cols>
    <col min="1" max="1" width="19.6640625" style="4" customWidth="1"/>
    <col min="2" max="4" width="8.88671875" style="4" bestFit="1" customWidth="1"/>
    <col min="5" max="5" width="3.88671875" style="4" customWidth="1"/>
    <col min="6" max="6" width="7.88671875" style="4" customWidth="1"/>
    <col min="7" max="7" width="9.109375" style="4" customWidth="1"/>
    <col min="8" max="8" width="8.88671875" style="4" bestFit="1" customWidth="1"/>
    <col min="9" max="9" width="11.6640625" style="4" customWidth="1"/>
    <col min="10" max="16384" width="8.6640625" style="4"/>
  </cols>
  <sheetData>
    <row r="1" spans="1:8" ht="37.5" customHeight="1" x14ac:dyDescent="0.3">
      <c r="A1" s="1" t="s">
        <v>0</v>
      </c>
      <c r="B1" s="2" t="s">
        <v>1</v>
      </c>
      <c r="C1" s="2" t="s">
        <v>2</v>
      </c>
      <c r="D1" s="3" t="s">
        <v>3</v>
      </c>
      <c r="E1" s="3"/>
      <c r="F1" s="3" t="s">
        <v>4</v>
      </c>
      <c r="G1" s="3" t="s">
        <v>5</v>
      </c>
      <c r="H1" s="3" t="s">
        <v>3</v>
      </c>
    </row>
    <row r="2" spans="1:8" x14ac:dyDescent="0.3">
      <c r="A2" s="1"/>
      <c r="B2" s="2"/>
      <c r="C2" s="2"/>
      <c r="D2" s="3"/>
      <c r="E2" s="3"/>
      <c r="F2" s="3"/>
      <c r="G2" s="3"/>
      <c r="H2" s="3"/>
    </row>
    <row r="3" spans="1:8" x14ac:dyDescent="0.3">
      <c r="A3" s="5" t="s">
        <v>6</v>
      </c>
    </row>
    <row r="4" spans="1:8" x14ac:dyDescent="0.3">
      <c r="A4" s="6" t="s">
        <v>6</v>
      </c>
      <c r="B4" s="7">
        <v>6450</v>
      </c>
      <c r="C4" s="7">
        <v>6163</v>
      </c>
      <c r="D4" s="8">
        <f t="shared" ref="D4:D8" si="0">(C4-B4)/B4</f>
        <v>-4.449612403100775E-2</v>
      </c>
      <c r="E4" s="8"/>
      <c r="F4" s="7">
        <f>[1]Aug!F4+B4</f>
        <v>59339</v>
      </c>
      <c r="G4" s="7">
        <f>[1]Aug!G4+C4</f>
        <v>62161</v>
      </c>
      <c r="H4" s="8">
        <f t="shared" ref="H4:H8" si="1">(G4-F4)/F4</f>
        <v>4.7557255767707578E-2</v>
      </c>
    </row>
    <row r="5" spans="1:8" x14ac:dyDescent="0.3">
      <c r="A5" s="9" t="s">
        <v>7</v>
      </c>
      <c r="B5" s="7">
        <v>0</v>
      </c>
      <c r="C5" s="7">
        <v>0</v>
      </c>
      <c r="D5" s="8"/>
      <c r="E5" s="8"/>
      <c r="F5" s="7">
        <f>[1]Aug!F5+B5</f>
        <v>0</v>
      </c>
      <c r="G5" s="7">
        <f>[1]Aug!G5+C5</f>
        <v>0</v>
      </c>
      <c r="H5" s="8" t="e">
        <f t="shared" si="1"/>
        <v>#DIV/0!</v>
      </c>
    </row>
    <row r="6" spans="1:8" x14ac:dyDescent="0.3">
      <c r="A6" s="9" t="s">
        <v>8</v>
      </c>
      <c r="B6" s="7">
        <v>612</v>
      </c>
      <c r="C6" s="7">
        <v>510</v>
      </c>
      <c r="D6" s="8">
        <f t="shared" si="0"/>
        <v>-0.16666666666666666</v>
      </c>
      <c r="E6" s="8"/>
      <c r="F6" s="7">
        <f>[1]Aug!F6+B6</f>
        <v>4632</v>
      </c>
      <c r="G6" s="7">
        <f>[1]Aug!G6+C6</f>
        <v>3936</v>
      </c>
      <c r="H6" s="8">
        <f t="shared" si="1"/>
        <v>-0.15025906735751296</v>
      </c>
    </row>
    <row r="7" spans="1:8" x14ac:dyDescent="0.3">
      <c r="A7" s="9" t="s">
        <v>9</v>
      </c>
      <c r="B7" s="7">
        <v>3533</v>
      </c>
      <c r="C7" s="7">
        <v>3082</v>
      </c>
      <c r="D7" s="8">
        <f t="shared" si="0"/>
        <v>-0.12765355222190772</v>
      </c>
      <c r="E7" s="8"/>
      <c r="F7" s="7">
        <f>[1]Aug!F7+B7</f>
        <v>32314</v>
      </c>
      <c r="G7" s="7">
        <f>[1]Aug!G7+C7</f>
        <v>35019</v>
      </c>
      <c r="H7" s="8">
        <f t="shared" si="1"/>
        <v>8.3709847125085099E-2</v>
      </c>
    </row>
    <row r="8" spans="1:8" x14ac:dyDescent="0.3">
      <c r="A8" s="9" t="s">
        <v>10</v>
      </c>
      <c r="B8" s="7">
        <v>250</v>
      </c>
      <c r="C8" s="7">
        <v>193</v>
      </c>
      <c r="D8" s="8">
        <f t="shared" si="0"/>
        <v>-0.22800000000000001</v>
      </c>
      <c r="E8" s="8"/>
      <c r="F8" s="7">
        <f>[1]Aug!F8+B8</f>
        <v>2506</v>
      </c>
      <c r="G8" s="7">
        <f>[1]Aug!G8+C8</f>
        <v>2044</v>
      </c>
      <c r="H8" s="8">
        <f t="shared" si="1"/>
        <v>-0.18435754189944134</v>
      </c>
    </row>
    <row r="9" spans="1:8" x14ac:dyDescent="0.3">
      <c r="A9" s="10" t="s">
        <v>11</v>
      </c>
      <c r="B9">
        <v>1144</v>
      </c>
      <c r="C9">
        <v>1071</v>
      </c>
      <c r="D9" s="8">
        <f>(C9-B9)/B9</f>
        <v>-6.3811188811188815E-2</v>
      </c>
      <c r="E9"/>
      <c r="F9" s="7">
        <f>[1]Aug!F9+B9</f>
        <v>8750</v>
      </c>
      <c r="G9" s="7">
        <f>[1]Aug!G9+C6</f>
        <v>9348</v>
      </c>
      <c r="H9" s="8">
        <f>(G9-F9)/F9</f>
        <v>6.834285714285715E-2</v>
      </c>
    </row>
    <row r="10" spans="1:8" x14ac:dyDescent="0.3">
      <c r="A10" s="9" t="s">
        <v>12</v>
      </c>
      <c r="B10" s="7">
        <v>2</v>
      </c>
      <c r="C10" s="7">
        <v>0</v>
      </c>
      <c r="D10" s="8">
        <f>(C10-B10)/B10</f>
        <v>-1</v>
      </c>
      <c r="E10" s="8"/>
      <c r="F10" s="7">
        <f>[1]Aug!F10+B10</f>
        <v>128</v>
      </c>
      <c r="G10" s="7">
        <f>[1]Aug!G10+C10</f>
        <v>5</v>
      </c>
      <c r="H10" s="8">
        <f>(G10-F10)/F10</f>
        <v>-0.9609375</v>
      </c>
    </row>
    <row r="11" spans="1:8" x14ac:dyDescent="0.3">
      <c r="A11" s="5" t="s">
        <v>13</v>
      </c>
      <c r="B11" s="7"/>
      <c r="C11" s="7"/>
      <c r="D11" s="8"/>
      <c r="E11" s="8"/>
      <c r="F11" s="7"/>
      <c r="G11" s="7"/>
      <c r="H11" s="8"/>
    </row>
    <row r="12" spans="1:8" x14ac:dyDescent="0.3">
      <c r="A12" s="6" t="s">
        <v>14</v>
      </c>
      <c r="B12" s="7">
        <v>49</v>
      </c>
      <c r="C12" s="7">
        <v>62</v>
      </c>
      <c r="D12" s="8">
        <f>(C12-B12)/B12</f>
        <v>0.26530612244897961</v>
      </c>
      <c r="E12" s="8"/>
      <c r="F12" s="7">
        <f>[1]Aug!F12+B12</f>
        <v>375</v>
      </c>
      <c r="G12" s="7">
        <f>[1]Aug!G12+C12</f>
        <v>473</v>
      </c>
      <c r="H12" s="8">
        <f>(G12-F12)/F12</f>
        <v>0.26133333333333331</v>
      </c>
    </row>
    <row r="13" spans="1:8" ht="27" x14ac:dyDescent="0.3">
      <c r="A13" s="9" t="s">
        <v>15</v>
      </c>
      <c r="B13" s="7">
        <v>38</v>
      </c>
      <c r="C13">
        <v>44</v>
      </c>
      <c r="D13" s="8">
        <f>(C12-B13)/B13</f>
        <v>0.63157894736842102</v>
      </c>
      <c r="E13" s="8"/>
      <c r="F13" s="7">
        <f>[1]Aug!F13+B13</f>
        <v>466</v>
      </c>
      <c r="G13" s="7">
        <f>[1]Aug!G13+C12</f>
        <v>438</v>
      </c>
      <c r="H13" s="8">
        <f>(G13-F13)/F13</f>
        <v>-6.0085836909871244E-2</v>
      </c>
    </row>
    <row r="14" spans="1:8" x14ac:dyDescent="0.3">
      <c r="A14" s="9"/>
      <c r="B14" s="7"/>
      <c r="C14" s="7"/>
      <c r="D14" s="8"/>
      <c r="E14" s="8"/>
      <c r="F14" s="7"/>
      <c r="G14" s="7"/>
      <c r="H14" s="8"/>
    </row>
    <row r="15" spans="1:8" x14ac:dyDescent="0.3">
      <c r="A15" s="11" t="s">
        <v>16</v>
      </c>
      <c r="B15" s="7"/>
      <c r="C15" s="7"/>
      <c r="D15" s="8"/>
      <c r="E15" s="8"/>
      <c r="F15" s="7"/>
      <c r="G15" s="7"/>
      <c r="H15" s="8"/>
    </row>
    <row r="16" spans="1:8" x14ac:dyDescent="0.3">
      <c r="A16" s="9" t="s">
        <v>17</v>
      </c>
      <c r="B16" s="7">
        <v>764</v>
      </c>
      <c r="C16" s="7">
        <v>0</v>
      </c>
      <c r="D16" s="8">
        <f>(C16-B16)/B16</f>
        <v>-1</v>
      </c>
      <c r="E16" s="8"/>
      <c r="F16" s="7">
        <f>[1]Aug!F16+B16</f>
        <v>6584</v>
      </c>
      <c r="G16" s="7">
        <f>[1]Aug!G16+C16</f>
        <v>6292</v>
      </c>
      <c r="H16" s="8">
        <f>(G16-F16)/F16</f>
        <v>-4.4349939246658567E-2</v>
      </c>
    </row>
    <row r="17" spans="1:8" x14ac:dyDescent="0.3">
      <c r="A17" s="9" t="s">
        <v>18</v>
      </c>
      <c r="B17" s="7">
        <v>308</v>
      </c>
      <c r="C17" s="7">
        <v>0</v>
      </c>
      <c r="D17" s="8">
        <f>(C17-B17)/B17</f>
        <v>-1</v>
      </c>
      <c r="E17" s="8"/>
      <c r="F17" s="7">
        <f>[1]Aug!F17+B17</f>
        <v>2913</v>
      </c>
      <c r="G17" s="7">
        <f>[1]Aug!G17+C17</f>
        <v>2711</v>
      </c>
      <c r="H17" s="8">
        <f>(G17-F17)/F17</f>
        <v>-6.9344318571918986E-2</v>
      </c>
    </row>
    <row r="18" spans="1:8" x14ac:dyDescent="0.3">
      <c r="A18" s="6"/>
      <c r="B18" s="7"/>
      <c r="C18" s="7"/>
      <c r="D18" s="8"/>
      <c r="E18" s="8"/>
      <c r="F18" s="7"/>
      <c r="G18" s="7"/>
      <c r="H18" s="8"/>
    </row>
    <row r="19" spans="1:8" x14ac:dyDescent="0.3">
      <c r="A19" s="11" t="s">
        <v>19</v>
      </c>
      <c r="B19" s="7"/>
      <c r="C19" s="7"/>
      <c r="D19" s="8"/>
      <c r="E19" s="8"/>
      <c r="F19" s="7"/>
      <c r="G19" s="7"/>
      <c r="H19" s="8"/>
    </row>
    <row r="20" spans="1:8" x14ac:dyDescent="0.3">
      <c r="A20" s="9" t="s">
        <v>20</v>
      </c>
      <c r="B20" s="7">
        <v>72</v>
      </c>
      <c r="C20" s="7">
        <v>81</v>
      </c>
      <c r="D20" s="8">
        <f>(C20-B20)/B20</f>
        <v>0.125</v>
      </c>
      <c r="E20" s="8"/>
      <c r="F20" s="7">
        <f>[1]Aug!F20+B20</f>
        <v>803</v>
      </c>
      <c r="G20" s="7">
        <f>[1]Aug!G20+C20</f>
        <v>957</v>
      </c>
      <c r="H20" s="8">
        <f>(G26-F26)/F26</f>
        <v>-0.16691068814055637</v>
      </c>
    </row>
    <row r="21" spans="1:8" ht="27" x14ac:dyDescent="0.3">
      <c r="A21" s="9" t="s">
        <v>21</v>
      </c>
      <c r="B21" s="7">
        <v>7761</v>
      </c>
      <c r="C21" s="7">
        <v>8874</v>
      </c>
      <c r="D21" s="8">
        <f>(C21-B21)/B21</f>
        <v>0.14340935446463085</v>
      </c>
      <c r="E21" s="8"/>
      <c r="F21">
        <f t="shared" ref="F21:G23" si="2">B21</f>
        <v>7761</v>
      </c>
      <c r="G21">
        <f t="shared" si="2"/>
        <v>8874</v>
      </c>
      <c r="H21" s="8">
        <f>(G21-F21)/F21</f>
        <v>0.14340935446463085</v>
      </c>
    </row>
    <row r="22" spans="1:8" x14ac:dyDescent="0.3">
      <c r="A22" s="9" t="s">
        <v>22</v>
      </c>
      <c r="B22" s="7">
        <v>6405</v>
      </c>
      <c r="C22" s="7">
        <v>7220</v>
      </c>
      <c r="D22" s="8">
        <f>(C22-B22)/B22</f>
        <v>0.12724434035909446</v>
      </c>
      <c r="E22" s="8"/>
      <c r="F22">
        <f t="shared" si="2"/>
        <v>6405</v>
      </c>
      <c r="G22">
        <f t="shared" si="2"/>
        <v>7220</v>
      </c>
      <c r="H22" s="8">
        <f>(G22-F22)/F22</f>
        <v>0.12724434035909446</v>
      </c>
    </row>
    <row r="23" spans="1:8" x14ac:dyDescent="0.3">
      <c r="A23" s="9" t="s">
        <v>23</v>
      </c>
      <c r="B23" s="7">
        <v>1356</v>
      </c>
      <c r="C23" s="7">
        <v>1654</v>
      </c>
      <c r="D23" s="8">
        <f>(C23-B23)/B23</f>
        <v>0.21976401179941002</v>
      </c>
      <c r="E23" s="8"/>
      <c r="F23">
        <f t="shared" si="2"/>
        <v>1356</v>
      </c>
      <c r="G23">
        <f t="shared" si="2"/>
        <v>1654</v>
      </c>
      <c r="H23" s="8">
        <f>(G23-F23)/F23</f>
        <v>0.21976401179941002</v>
      </c>
    </row>
    <row r="24" spans="1:8" x14ac:dyDescent="0.3">
      <c r="A24" s="9"/>
      <c r="B24" s="7"/>
      <c r="C24" s="7"/>
      <c r="D24" s="8"/>
      <c r="E24" s="8"/>
      <c r="F24" s="7"/>
      <c r="G24" s="7"/>
      <c r="H24" s="8"/>
    </row>
    <row r="25" spans="1:8" x14ac:dyDescent="0.3">
      <c r="A25" s="11" t="s">
        <v>24</v>
      </c>
      <c r="B25" s="7"/>
      <c r="C25" s="7"/>
      <c r="D25" s="8"/>
      <c r="E25" s="8"/>
      <c r="F25" s="7"/>
      <c r="G25" s="7"/>
      <c r="H25" s="8"/>
    </row>
    <row r="26" spans="1:8" x14ac:dyDescent="0.3">
      <c r="A26" s="9" t="s">
        <v>25</v>
      </c>
      <c r="B26" s="7">
        <v>316</v>
      </c>
      <c r="C26" s="7">
        <v>212</v>
      </c>
      <c r="D26" s="8">
        <f>(C26-B26)/B26</f>
        <v>-0.32911392405063289</v>
      </c>
      <c r="E26" s="8"/>
      <c r="F26" s="7">
        <f>[1]Aug!F26+B26</f>
        <v>2732</v>
      </c>
      <c r="G26" s="7">
        <f>[1]Aug!G26+C26</f>
        <v>2276</v>
      </c>
      <c r="H26" s="8">
        <f>(G26-F26)/F26</f>
        <v>-0.16691068814055637</v>
      </c>
    </row>
    <row r="27" spans="1:8" x14ac:dyDescent="0.3">
      <c r="A27" s="9" t="s">
        <v>26</v>
      </c>
      <c r="B27" s="7">
        <v>122</v>
      </c>
      <c r="C27" s="7">
        <v>1004</v>
      </c>
      <c r="D27" s="8">
        <f>(C27-B27)/B27</f>
        <v>7.2295081967213113</v>
      </c>
      <c r="E27" s="8"/>
      <c r="F27" s="7">
        <f>[1]Aug!F27+B27</f>
        <v>2768</v>
      </c>
      <c r="G27" s="7">
        <f>[1]Aug!G27+C27</f>
        <v>2662</v>
      </c>
      <c r="H27" s="8">
        <f>(G27-F27)/F27</f>
        <v>-3.8294797687861273E-2</v>
      </c>
    </row>
    <row r="28" spans="1:8" x14ac:dyDescent="0.3">
      <c r="A28" s="9" t="s">
        <v>27</v>
      </c>
      <c r="B28" s="7">
        <v>26098</v>
      </c>
      <c r="C28" s="7">
        <v>25591</v>
      </c>
      <c r="D28" s="8">
        <f>(C28-B28)/B28</f>
        <v>-1.942677599816078E-2</v>
      </c>
      <c r="E28" s="8"/>
      <c r="F28" s="7">
        <f>B28</f>
        <v>26098</v>
      </c>
      <c r="G28" s="7">
        <f>C28+G26-G27</f>
        <v>25205</v>
      </c>
      <c r="H28" s="8">
        <f>(G28-F28)/F28</f>
        <v>-3.4217181393210207E-2</v>
      </c>
    </row>
    <row r="29" spans="1:8" x14ac:dyDescent="0.3">
      <c r="A29" s="9"/>
      <c r="B29" s="7"/>
      <c r="C29" s="7"/>
      <c r="D29" s="8"/>
      <c r="E29" s="8"/>
      <c r="F29" s="7"/>
      <c r="G29" s="7"/>
      <c r="H29" s="8"/>
    </row>
    <row r="30" spans="1:8" x14ac:dyDescent="0.3">
      <c r="A30" s="11" t="s">
        <v>28</v>
      </c>
      <c r="B30" s="7"/>
      <c r="C30" s="7"/>
      <c r="D30" s="8"/>
      <c r="E30" s="8"/>
      <c r="F30" s="7"/>
      <c r="G30" s="7"/>
      <c r="H30" s="8"/>
    </row>
    <row r="31" spans="1:8" x14ac:dyDescent="0.3">
      <c r="A31" s="9" t="s">
        <v>29</v>
      </c>
      <c r="B31" s="7">
        <v>344</v>
      </c>
      <c r="C31" s="7">
        <v>237</v>
      </c>
      <c r="D31" s="8">
        <f>(C31-B31)/B31</f>
        <v>-0.31104651162790697</v>
      </c>
      <c r="E31" s="8"/>
      <c r="F31" s="7">
        <f>[1]Aug!F31+B31</f>
        <v>2945</v>
      </c>
      <c r="G31" s="7">
        <f>[1]Aug!G31+C31</f>
        <v>3153</v>
      </c>
      <c r="H31" s="8">
        <f>(G31-F31)/F31</f>
        <v>7.0628183361629876E-2</v>
      </c>
    </row>
    <row r="32" spans="1:8" x14ac:dyDescent="0.3">
      <c r="A32" s="9" t="s">
        <v>30</v>
      </c>
      <c r="B32" s="7">
        <v>3976</v>
      </c>
      <c r="C32" s="7">
        <v>0</v>
      </c>
      <c r="D32" s="8">
        <f>(C32-B32)/B32</f>
        <v>-1</v>
      </c>
      <c r="E32" s="8"/>
      <c r="F32" s="7">
        <f>[1]Aug!F32+B32</f>
        <v>54929</v>
      </c>
      <c r="G32" s="7">
        <f>[1]Aug!G32+C32</f>
        <v>38954</v>
      </c>
      <c r="H32" s="8">
        <f>(G32-F32)/F32</f>
        <v>-0.29082998052030801</v>
      </c>
    </row>
    <row r="33" spans="1:8" x14ac:dyDescent="0.3">
      <c r="A33" s="9" t="s">
        <v>31</v>
      </c>
      <c r="B33" s="7">
        <v>208</v>
      </c>
      <c r="C33" s="7">
        <v>147</v>
      </c>
      <c r="D33" s="8">
        <f>(C33-B33)/B33</f>
        <v>-0.29326923076923078</v>
      </c>
      <c r="E33" s="8"/>
      <c r="F33" s="7">
        <f>[1]Aug!F33+B33</f>
        <v>2119</v>
      </c>
      <c r="G33" s="7">
        <f>[1]Aug!G33+C33</f>
        <v>1663</v>
      </c>
      <c r="H33" s="8">
        <f>(G33-F33)/F33</f>
        <v>-0.21519584709768758</v>
      </c>
    </row>
    <row r="34" spans="1:8" x14ac:dyDescent="0.3">
      <c r="A34" s="9"/>
      <c r="B34" s="7"/>
      <c r="C34" s="7"/>
      <c r="D34" s="8"/>
      <c r="E34" s="8"/>
      <c r="F34" s="7"/>
      <c r="G34" s="7"/>
      <c r="H34" s="8"/>
    </row>
    <row r="35" spans="1:8" ht="27" x14ac:dyDescent="0.3">
      <c r="A35" s="9" t="s">
        <v>32</v>
      </c>
      <c r="B35" s="7">
        <v>30</v>
      </c>
      <c r="C35" s="7">
        <v>19</v>
      </c>
      <c r="D35" s="8">
        <f>(C35-B35)/B35</f>
        <v>-0.36666666666666664</v>
      </c>
      <c r="E35" s="8"/>
      <c r="F35" s="7">
        <f>[1]Aug!F35+B35</f>
        <v>279</v>
      </c>
      <c r="G35" s="7">
        <f>[1]Aug!G35+C35</f>
        <v>350</v>
      </c>
      <c r="H35" s="8">
        <f>(G35-F35)/F35</f>
        <v>0.25448028673835127</v>
      </c>
    </row>
    <row r="36" spans="1:8" x14ac:dyDescent="0.3">
      <c r="B36"/>
      <c r="C36"/>
      <c r="D36"/>
      <c r="E36"/>
      <c r="F36"/>
      <c r="G36"/>
      <c r="H36"/>
    </row>
  </sheetData>
  <pageMargins left="0.7" right="0.7" top="0.82" bottom="0.75" header="0.3" footer="0.3"/>
  <pageSetup orientation="portrait" verticalDpi="300" r:id="rId1"/>
  <headerFooter>
    <oddHeader xml:space="preserve">&amp;C&amp;"-,Bold"&amp;14Berthoud Community Library Distirct
Statistics September 2026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B87A8-C94B-4B1B-85B8-429C9B48D509}">
  <dimension ref="A1:B70"/>
  <sheetViews>
    <sheetView workbookViewId="0">
      <selection sqref="A1:B1"/>
    </sheetView>
  </sheetViews>
  <sheetFormatPr defaultColWidth="12.44140625" defaultRowHeight="15.6" x14ac:dyDescent="0.3"/>
  <cols>
    <col min="1" max="1" width="35.109375" style="19" customWidth="1"/>
    <col min="2" max="2" width="17.88671875" style="19" customWidth="1"/>
    <col min="3" max="16384" width="12.44140625" style="14"/>
  </cols>
  <sheetData>
    <row r="1" spans="1:2" x14ac:dyDescent="0.3">
      <c r="A1" s="12" t="s">
        <v>33</v>
      </c>
      <c r="B1" s="13"/>
    </row>
    <row r="2" spans="1:2" x14ac:dyDescent="0.3">
      <c r="A2" s="15" t="s">
        <v>34</v>
      </c>
      <c r="B2" s="13"/>
    </row>
    <row r="3" spans="1:2" x14ac:dyDescent="0.3">
      <c r="A3" s="16" t="s">
        <v>35</v>
      </c>
      <c r="B3" s="13"/>
    </row>
    <row r="5" spans="1:2" x14ac:dyDescent="0.3">
      <c r="A5" s="17" t="s">
        <v>36</v>
      </c>
      <c r="B5" s="17" t="s">
        <v>37</v>
      </c>
    </row>
    <row r="6" spans="1:2" x14ac:dyDescent="0.3">
      <c r="A6" s="18" t="s">
        <v>38</v>
      </c>
    </row>
    <row r="7" spans="1:2" x14ac:dyDescent="0.3">
      <c r="A7" s="20" t="s">
        <v>39</v>
      </c>
    </row>
    <row r="8" spans="1:2" x14ac:dyDescent="0.3">
      <c r="A8" s="21" t="s">
        <v>40</v>
      </c>
    </row>
    <row r="9" spans="1:2" x14ac:dyDescent="0.3">
      <c r="A9" s="22" t="s">
        <v>41</v>
      </c>
      <c r="B9" s="23">
        <v>1240606.56</v>
      </c>
    </row>
    <row r="10" spans="1:2" x14ac:dyDescent="0.3">
      <c r="A10" s="22" t="s">
        <v>42</v>
      </c>
      <c r="B10" s="23">
        <v>223095.13</v>
      </c>
    </row>
    <row r="11" spans="1:2" x14ac:dyDescent="0.3">
      <c r="A11" s="22" t="s">
        <v>43</v>
      </c>
      <c r="B11" s="23">
        <v>248678.47</v>
      </c>
    </row>
    <row r="12" spans="1:2" x14ac:dyDescent="0.3">
      <c r="A12" s="24" t="s">
        <v>44</v>
      </c>
      <c r="B12" s="23">
        <v>0</v>
      </c>
    </row>
    <row r="13" spans="1:2" x14ac:dyDescent="0.3">
      <c r="A13" s="25" t="s">
        <v>45</v>
      </c>
      <c r="B13" s="26">
        <f>B11+B12</f>
        <v>248678.47</v>
      </c>
    </row>
    <row r="14" spans="1:2" x14ac:dyDescent="0.3">
      <c r="A14" s="22" t="s">
        <v>46</v>
      </c>
      <c r="B14" s="23">
        <v>140</v>
      </c>
    </row>
    <row r="15" spans="1:2" x14ac:dyDescent="0.3">
      <c r="A15" s="27" t="s">
        <v>47</v>
      </c>
      <c r="B15" s="26">
        <f>B8+B9+B10+B13+B14</f>
        <v>1712520.16</v>
      </c>
    </row>
    <row r="16" spans="1:2" x14ac:dyDescent="0.3">
      <c r="A16" s="21" t="s">
        <v>48</v>
      </c>
    </row>
    <row r="17" spans="1:2" x14ac:dyDescent="0.3">
      <c r="A17" s="22" t="s">
        <v>49</v>
      </c>
      <c r="B17" s="23">
        <v>932698</v>
      </c>
    </row>
    <row r="18" spans="1:2" x14ac:dyDescent="0.3">
      <c r="A18" s="27" t="s">
        <v>50</v>
      </c>
      <c r="B18" s="26">
        <f>B16+B17</f>
        <v>932698</v>
      </c>
    </row>
    <row r="19" spans="1:2" x14ac:dyDescent="0.3">
      <c r="A19" s="21" t="s">
        <v>51</v>
      </c>
    </row>
    <row r="20" spans="1:2" x14ac:dyDescent="0.3">
      <c r="A20" s="22" t="s">
        <v>52</v>
      </c>
      <c r="B20" s="28">
        <v>0</v>
      </c>
    </row>
    <row r="21" spans="1:2" x14ac:dyDescent="0.3">
      <c r="A21" s="22" t="s">
        <v>53</v>
      </c>
      <c r="B21" s="28">
        <v>0</v>
      </c>
    </row>
    <row r="22" spans="1:2" x14ac:dyDescent="0.3">
      <c r="A22" s="22" t="s">
        <v>54</v>
      </c>
      <c r="B22" s="23">
        <v>13518.6</v>
      </c>
    </row>
    <row r="23" spans="1:2" x14ac:dyDescent="0.3">
      <c r="A23" s="22" t="s">
        <v>55</v>
      </c>
      <c r="B23" s="28">
        <v>0</v>
      </c>
    </row>
    <row r="24" spans="1:2" x14ac:dyDescent="0.3">
      <c r="A24" s="27" t="s">
        <v>56</v>
      </c>
      <c r="B24" s="26">
        <f>B19+B20+B21+B22+B23</f>
        <v>13518.6</v>
      </c>
    </row>
    <row r="25" spans="1:2" x14ac:dyDescent="0.3">
      <c r="A25" s="29" t="s">
        <v>57</v>
      </c>
      <c r="B25" s="26">
        <f>B7+B15+B18+B24</f>
        <v>2658736.7600000002</v>
      </c>
    </row>
    <row r="26" spans="1:2" x14ac:dyDescent="0.3">
      <c r="A26" s="20" t="s">
        <v>58</v>
      </c>
    </row>
    <row r="27" spans="1:2" x14ac:dyDescent="0.3">
      <c r="A27" s="21" t="s">
        <v>59</v>
      </c>
      <c r="B27" s="28">
        <v>0</v>
      </c>
    </row>
    <row r="28" spans="1:2" x14ac:dyDescent="0.3">
      <c r="A28" s="21" t="s">
        <v>60</v>
      </c>
      <c r="B28" s="28">
        <v>0</v>
      </c>
    </row>
    <row r="29" spans="1:2" x14ac:dyDescent="0.3">
      <c r="A29" s="29" t="s">
        <v>61</v>
      </c>
      <c r="B29" s="26">
        <f>B26+B27+B28</f>
        <v>0</v>
      </c>
    </row>
    <row r="30" spans="1:2" x14ac:dyDescent="0.3">
      <c r="A30" s="20" t="s">
        <v>62</v>
      </c>
    </row>
    <row r="31" spans="1:2" x14ac:dyDescent="0.3">
      <c r="A31" s="21" t="s">
        <v>63</v>
      </c>
      <c r="B31" s="28">
        <v>0</v>
      </c>
    </row>
    <row r="32" spans="1:2" x14ac:dyDescent="0.3">
      <c r="A32" s="29" t="s">
        <v>64</v>
      </c>
      <c r="B32" s="26">
        <f>B30+B31</f>
        <v>0</v>
      </c>
    </row>
    <row r="33" spans="1:2" x14ac:dyDescent="0.3">
      <c r="A33" s="30" t="s">
        <v>65</v>
      </c>
      <c r="B33" s="26">
        <f>B6+B25+B29+B32</f>
        <v>2658736.7600000002</v>
      </c>
    </row>
    <row r="34" spans="1:2" x14ac:dyDescent="0.3">
      <c r="A34" s="18" t="s">
        <v>66</v>
      </c>
    </row>
    <row r="35" spans="1:2" x14ac:dyDescent="0.3">
      <c r="A35" s="20" t="s">
        <v>67</v>
      </c>
    </row>
    <row r="36" spans="1:2" x14ac:dyDescent="0.3">
      <c r="A36" s="21" t="s">
        <v>68</v>
      </c>
    </row>
    <row r="37" spans="1:2" x14ac:dyDescent="0.3">
      <c r="A37" s="22" t="s">
        <v>69</v>
      </c>
    </row>
    <row r="38" spans="1:2" x14ac:dyDescent="0.3">
      <c r="A38" s="24" t="s">
        <v>70</v>
      </c>
      <c r="B38" s="23">
        <v>1056.99</v>
      </c>
    </row>
    <row r="39" spans="1:2" x14ac:dyDescent="0.3">
      <c r="A39" s="25" t="s">
        <v>71</v>
      </c>
      <c r="B39" s="26">
        <f>B37+B38</f>
        <v>1056.99</v>
      </c>
    </row>
    <row r="40" spans="1:2" x14ac:dyDescent="0.3">
      <c r="A40" s="22" t="s">
        <v>72</v>
      </c>
    </row>
    <row r="41" spans="1:2" x14ac:dyDescent="0.3">
      <c r="A41" s="24" t="s">
        <v>73</v>
      </c>
      <c r="B41" s="23">
        <v>36.75</v>
      </c>
    </row>
    <row r="42" spans="1:2" x14ac:dyDescent="0.3">
      <c r="A42" s="31" t="s">
        <v>74</v>
      </c>
      <c r="B42" s="23">
        <v>236</v>
      </c>
    </row>
    <row r="43" spans="1:2" x14ac:dyDescent="0.3">
      <c r="A43" s="31" t="s">
        <v>75</v>
      </c>
      <c r="B43" s="23">
        <v>-927.58</v>
      </c>
    </row>
    <row r="44" spans="1:2" x14ac:dyDescent="0.3">
      <c r="A44" s="31" t="s">
        <v>76</v>
      </c>
      <c r="B44" s="23">
        <v>1481.65</v>
      </c>
    </row>
    <row r="45" spans="1:2" x14ac:dyDescent="0.3">
      <c r="A45" s="31" t="s">
        <v>77</v>
      </c>
      <c r="B45" s="23">
        <v>39.159999999999997</v>
      </c>
    </row>
    <row r="46" spans="1:2" x14ac:dyDescent="0.3">
      <c r="A46" s="32" t="s">
        <v>78</v>
      </c>
      <c r="B46" s="26">
        <f>B41+B42+B43+B44+B45</f>
        <v>865.98</v>
      </c>
    </row>
    <row r="47" spans="1:2" x14ac:dyDescent="0.3">
      <c r="A47" s="24" t="s">
        <v>79</v>
      </c>
      <c r="B47" s="23">
        <v>-466.28</v>
      </c>
    </row>
    <row r="48" spans="1:2" x14ac:dyDescent="0.3">
      <c r="A48" s="24" t="s">
        <v>80</v>
      </c>
      <c r="B48" s="23">
        <v>932698</v>
      </c>
    </row>
    <row r="49" spans="1:2" x14ac:dyDescent="0.3">
      <c r="A49" s="24" t="s">
        <v>81</v>
      </c>
      <c r="B49" s="28">
        <v>0</v>
      </c>
    </row>
    <row r="50" spans="1:2" x14ac:dyDescent="0.3">
      <c r="A50" s="25" t="s">
        <v>82</v>
      </c>
      <c r="B50" s="26">
        <f>B40+B46+B47+B48+B49</f>
        <v>933097.7</v>
      </c>
    </row>
    <row r="51" spans="1:2" x14ac:dyDescent="0.3">
      <c r="A51" s="27" t="s">
        <v>83</v>
      </c>
      <c r="B51" s="26">
        <f>B36+B39+B50</f>
        <v>934154.69</v>
      </c>
    </row>
    <row r="52" spans="1:2" x14ac:dyDescent="0.3">
      <c r="A52" s="21" t="s">
        <v>84</v>
      </c>
    </row>
    <row r="53" spans="1:2" x14ac:dyDescent="0.3">
      <c r="A53" s="22" t="s">
        <v>85</v>
      </c>
      <c r="B53" s="28">
        <v>0</v>
      </c>
    </row>
    <row r="54" spans="1:2" x14ac:dyDescent="0.3">
      <c r="A54" s="27" t="s">
        <v>86</v>
      </c>
      <c r="B54" s="26">
        <f>B52+B53</f>
        <v>0</v>
      </c>
    </row>
    <row r="55" spans="1:2" x14ac:dyDescent="0.3">
      <c r="A55" s="29" t="s">
        <v>87</v>
      </c>
      <c r="B55" s="26">
        <f>B35+B51+B54</f>
        <v>934154.69</v>
      </c>
    </row>
    <row r="56" spans="1:2" x14ac:dyDescent="0.3">
      <c r="A56" s="20" t="s">
        <v>88</v>
      </c>
    </row>
    <row r="57" spans="1:2" x14ac:dyDescent="0.3">
      <c r="A57" s="21" t="s">
        <v>89</v>
      </c>
      <c r="B57" s="28">
        <v>0</v>
      </c>
    </row>
    <row r="58" spans="1:2" x14ac:dyDescent="0.3">
      <c r="A58" s="21" t="s">
        <v>90</v>
      </c>
      <c r="B58" s="28">
        <v>0</v>
      </c>
    </row>
    <row r="59" spans="1:2" x14ac:dyDescent="0.3">
      <c r="A59" s="21" t="s">
        <v>91</v>
      </c>
      <c r="B59" s="23">
        <v>13107.9</v>
      </c>
    </row>
    <row r="60" spans="1:2" x14ac:dyDescent="0.3">
      <c r="A60" s="21" t="s">
        <v>92</v>
      </c>
      <c r="B60" s="23">
        <v>12806.56</v>
      </c>
    </row>
    <row r="61" spans="1:2" x14ac:dyDescent="0.3">
      <c r="A61" s="21" t="s">
        <v>93</v>
      </c>
      <c r="B61" s="28">
        <v>0</v>
      </c>
    </row>
    <row r="62" spans="1:2" x14ac:dyDescent="0.3">
      <c r="A62" s="21" t="s">
        <v>94</v>
      </c>
      <c r="B62" s="23">
        <v>30000</v>
      </c>
    </row>
    <row r="63" spans="1:2" x14ac:dyDescent="0.3">
      <c r="A63" s="21" t="s">
        <v>95</v>
      </c>
      <c r="B63" s="23">
        <v>1216354.2700000005</v>
      </c>
    </row>
    <row r="64" spans="1:2" x14ac:dyDescent="0.3">
      <c r="A64" s="21" t="s">
        <v>96</v>
      </c>
      <c r="B64" s="23">
        <v>452313.33999999962</v>
      </c>
    </row>
    <row r="65" spans="1:2" x14ac:dyDescent="0.3">
      <c r="A65" s="29" t="s">
        <v>97</v>
      </c>
      <c r="B65" s="26">
        <f>B56+B57+B58+B59+B60+B61+B62+B63+B64</f>
        <v>1724582.07</v>
      </c>
    </row>
    <row r="66" spans="1:2" x14ac:dyDescent="0.3">
      <c r="A66" s="30" t="s">
        <v>98</v>
      </c>
      <c r="B66" s="26">
        <f>B34+B55+B65</f>
        <v>2658736.7599999998</v>
      </c>
    </row>
    <row r="70" spans="1:2" x14ac:dyDescent="0.3">
      <c r="A70" s="33" t="s">
        <v>99</v>
      </c>
      <c r="B70" s="13"/>
    </row>
  </sheetData>
  <mergeCells count="4">
    <mergeCell ref="A1:B1"/>
    <mergeCell ref="A2:B2"/>
    <mergeCell ref="A3:B3"/>
    <mergeCell ref="A70:B7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2625-F6F6-47B2-8074-C41A00142EB9}">
  <dimension ref="A1:BA106"/>
  <sheetViews>
    <sheetView topLeftCell="A6" workbookViewId="0">
      <selection activeCell="AS4" sqref="AS4"/>
    </sheetView>
  </sheetViews>
  <sheetFormatPr defaultRowHeight="14.4" x14ac:dyDescent="0.3"/>
  <cols>
    <col min="1" max="1" width="29.33203125" style="36" customWidth="1"/>
    <col min="2" max="2" width="11.109375" style="36" hidden="1" customWidth="1"/>
    <col min="3" max="3" width="9.44140625" style="36" hidden="1" customWidth="1"/>
    <col min="4" max="4" width="11.109375" style="36" hidden="1" customWidth="1"/>
    <col min="5" max="5" width="9.44140625" style="36" hidden="1" customWidth="1"/>
    <col min="6" max="6" width="10.33203125" style="36" hidden="1" customWidth="1"/>
    <col min="7" max="7" width="9.44140625" style="36" hidden="1" customWidth="1"/>
    <col min="8" max="8" width="11.109375" style="36" hidden="1" customWidth="1"/>
    <col min="9" max="11" width="9.44140625" style="36" hidden="1" customWidth="1"/>
    <col min="12" max="12" width="11.109375" style="36" hidden="1" customWidth="1"/>
    <col min="13" max="13" width="7.6640625" style="36" hidden="1" customWidth="1"/>
    <col min="14" max="14" width="10.33203125" style="36" hidden="1" customWidth="1"/>
    <col min="15" max="15" width="9.44140625" style="36" hidden="1" customWidth="1"/>
    <col min="16" max="16" width="11.109375" style="36" hidden="1" customWidth="1"/>
    <col min="17" max="19" width="9.44140625" style="36" hidden="1" customWidth="1"/>
    <col min="20" max="20" width="11.109375" style="36" hidden="1" customWidth="1"/>
    <col min="21" max="21" width="9.44140625" style="36" hidden="1" customWidth="1"/>
    <col min="22" max="22" width="10.33203125" style="36" hidden="1" customWidth="1"/>
    <col min="23" max="23" width="9.44140625" style="36" hidden="1" customWidth="1"/>
    <col min="24" max="24" width="10.33203125" style="36" hidden="1" customWidth="1"/>
    <col min="25" max="25" width="9.44140625" style="36" hidden="1" customWidth="1"/>
    <col min="26" max="26" width="11.109375" style="36" hidden="1" customWidth="1"/>
    <col min="27" max="27" width="9.44140625" style="36" hidden="1" customWidth="1"/>
    <col min="28" max="28" width="11.109375" style="36" hidden="1" customWidth="1"/>
    <col min="29" max="29" width="8.5546875" style="36" hidden="1" customWidth="1"/>
    <col min="30" max="30" width="12" style="36" hidden="1" customWidth="1"/>
    <col min="31" max="31" width="9.44140625" style="36" hidden="1" customWidth="1"/>
    <col min="32" max="32" width="12" style="36" hidden="1" customWidth="1"/>
    <col min="33" max="33" width="10.33203125" style="36" hidden="1" customWidth="1"/>
    <col min="34" max="34" width="11.109375" style="36" hidden="1" customWidth="1"/>
    <col min="35" max="35" width="9.44140625" style="36" hidden="1" customWidth="1"/>
    <col min="36" max="36" width="11.109375" style="36" hidden="1" customWidth="1"/>
    <col min="37" max="37" width="8.5546875" style="36" hidden="1" customWidth="1"/>
    <col min="38" max="38" width="7.6640625" style="36" hidden="1" customWidth="1"/>
    <col min="39" max="39" width="9.44140625" style="36" hidden="1" customWidth="1"/>
    <col min="40" max="40" width="11.109375" style="36" hidden="1" customWidth="1"/>
    <col min="41" max="42" width="7.6640625" style="36" hidden="1" customWidth="1"/>
    <col min="43" max="43" width="9.44140625" style="36" hidden="1" customWidth="1"/>
    <col min="44" max="44" width="11.109375" style="36" hidden="1" customWidth="1"/>
    <col min="45" max="46" width="7.6640625" style="36" hidden="1" customWidth="1"/>
    <col min="47" max="47" width="9.44140625" style="36" hidden="1" customWidth="1"/>
    <col min="48" max="48" width="11.109375" style="36" hidden="1" customWidth="1"/>
    <col min="49" max="49" width="7.6640625" style="36" hidden="1" customWidth="1"/>
    <col min="50" max="52" width="12" style="36" customWidth="1"/>
    <col min="53" max="53" width="7.6640625" style="36" customWidth="1"/>
    <col min="54" max="16384" width="8.88671875" style="36"/>
  </cols>
  <sheetData>
    <row r="1" spans="1:53" ht="17.399999999999999" x14ac:dyDescent="0.3">
      <c r="A1" s="34" t="s">
        <v>33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</row>
    <row r="2" spans="1:53" ht="17.399999999999999" x14ac:dyDescent="0.3">
      <c r="A2" s="34" t="s">
        <v>100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</row>
    <row r="3" spans="1:53" x14ac:dyDescent="0.3">
      <c r="A3" s="37" t="s">
        <v>101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</row>
    <row r="5" spans="1:53" x14ac:dyDescent="0.3">
      <c r="A5" s="38"/>
      <c r="B5" s="39" t="s">
        <v>102</v>
      </c>
      <c r="C5" s="40"/>
      <c r="D5" s="40"/>
      <c r="E5" s="40"/>
      <c r="F5" s="39" t="s">
        <v>103</v>
      </c>
      <c r="G5" s="40"/>
      <c r="H5" s="40"/>
      <c r="I5" s="40"/>
      <c r="J5" s="39" t="s">
        <v>104</v>
      </c>
      <c r="K5" s="40"/>
      <c r="L5" s="40"/>
      <c r="M5" s="40"/>
      <c r="N5" s="39" t="s">
        <v>105</v>
      </c>
      <c r="O5" s="40"/>
      <c r="P5" s="40"/>
      <c r="Q5" s="40"/>
      <c r="R5" s="39" t="s">
        <v>106</v>
      </c>
      <c r="S5" s="40"/>
      <c r="T5" s="40"/>
      <c r="U5" s="40"/>
      <c r="V5" s="39" t="s">
        <v>107</v>
      </c>
      <c r="W5" s="40"/>
      <c r="X5" s="40"/>
      <c r="Y5" s="40"/>
      <c r="Z5" s="39" t="s">
        <v>108</v>
      </c>
      <c r="AA5" s="40"/>
      <c r="AB5" s="40"/>
      <c r="AC5" s="40"/>
      <c r="AD5" s="39" t="s">
        <v>109</v>
      </c>
      <c r="AE5" s="40"/>
      <c r="AF5" s="40"/>
      <c r="AG5" s="40"/>
      <c r="AH5" s="39" t="s">
        <v>110</v>
      </c>
      <c r="AI5" s="40"/>
      <c r="AJ5" s="40"/>
      <c r="AK5" s="40"/>
      <c r="AL5" s="39" t="s">
        <v>111</v>
      </c>
      <c r="AM5" s="40"/>
      <c r="AN5" s="40"/>
      <c r="AO5" s="40"/>
      <c r="AP5" s="39" t="s">
        <v>112</v>
      </c>
      <c r="AQ5" s="40"/>
      <c r="AR5" s="40"/>
      <c r="AS5" s="40"/>
      <c r="AT5" s="39" t="s">
        <v>113</v>
      </c>
      <c r="AU5" s="40"/>
      <c r="AV5" s="40"/>
      <c r="AW5" s="40"/>
      <c r="AX5" s="39" t="s">
        <v>37</v>
      </c>
      <c r="AY5" s="40"/>
      <c r="AZ5" s="40"/>
      <c r="BA5" s="40"/>
    </row>
    <row r="6" spans="1:53" ht="24.6" x14ac:dyDescent="0.3">
      <c r="A6" s="38"/>
      <c r="B6" s="41" t="s">
        <v>114</v>
      </c>
      <c r="C6" s="41" t="s">
        <v>115</v>
      </c>
      <c r="D6" s="41" t="s">
        <v>116</v>
      </c>
      <c r="E6" s="41" t="s">
        <v>117</v>
      </c>
      <c r="F6" s="41" t="s">
        <v>114</v>
      </c>
      <c r="G6" s="41" t="s">
        <v>115</v>
      </c>
      <c r="H6" s="41" t="s">
        <v>116</v>
      </c>
      <c r="I6" s="41" t="s">
        <v>117</v>
      </c>
      <c r="J6" s="41" t="s">
        <v>114</v>
      </c>
      <c r="K6" s="41" t="s">
        <v>115</v>
      </c>
      <c r="L6" s="41" t="s">
        <v>116</v>
      </c>
      <c r="M6" s="41" t="s">
        <v>117</v>
      </c>
      <c r="N6" s="41" t="s">
        <v>114</v>
      </c>
      <c r="O6" s="41" t="s">
        <v>115</v>
      </c>
      <c r="P6" s="41" t="s">
        <v>116</v>
      </c>
      <c r="Q6" s="41" t="s">
        <v>117</v>
      </c>
      <c r="R6" s="41" t="s">
        <v>114</v>
      </c>
      <c r="S6" s="41" t="s">
        <v>115</v>
      </c>
      <c r="T6" s="41" t="s">
        <v>116</v>
      </c>
      <c r="U6" s="41" t="s">
        <v>117</v>
      </c>
      <c r="V6" s="41" t="s">
        <v>114</v>
      </c>
      <c r="W6" s="41" t="s">
        <v>115</v>
      </c>
      <c r="X6" s="41" t="s">
        <v>116</v>
      </c>
      <c r="Y6" s="41" t="s">
        <v>117</v>
      </c>
      <c r="Z6" s="41" t="s">
        <v>114</v>
      </c>
      <c r="AA6" s="41" t="s">
        <v>115</v>
      </c>
      <c r="AB6" s="41" t="s">
        <v>116</v>
      </c>
      <c r="AC6" s="41" t="s">
        <v>117</v>
      </c>
      <c r="AD6" s="41" t="s">
        <v>114</v>
      </c>
      <c r="AE6" s="41" t="s">
        <v>115</v>
      </c>
      <c r="AF6" s="41" t="s">
        <v>116</v>
      </c>
      <c r="AG6" s="41" t="s">
        <v>117</v>
      </c>
      <c r="AH6" s="41" t="s">
        <v>114</v>
      </c>
      <c r="AI6" s="41" t="s">
        <v>115</v>
      </c>
      <c r="AJ6" s="41" t="s">
        <v>116</v>
      </c>
      <c r="AK6" s="41" t="s">
        <v>117</v>
      </c>
      <c r="AL6" s="41" t="s">
        <v>114</v>
      </c>
      <c r="AM6" s="41" t="s">
        <v>115</v>
      </c>
      <c r="AN6" s="41" t="s">
        <v>116</v>
      </c>
      <c r="AO6" s="41" t="s">
        <v>117</v>
      </c>
      <c r="AP6" s="41" t="s">
        <v>114</v>
      </c>
      <c r="AQ6" s="41" t="s">
        <v>115</v>
      </c>
      <c r="AR6" s="41" t="s">
        <v>116</v>
      </c>
      <c r="AS6" s="41" t="s">
        <v>117</v>
      </c>
      <c r="AT6" s="41" t="s">
        <v>114</v>
      </c>
      <c r="AU6" s="41" t="s">
        <v>115</v>
      </c>
      <c r="AV6" s="41" t="s">
        <v>116</v>
      </c>
      <c r="AW6" s="41" t="s">
        <v>117</v>
      </c>
      <c r="AX6" s="41" t="s">
        <v>114</v>
      </c>
      <c r="AY6" s="41" t="s">
        <v>115</v>
      </c>
      <c r="AZ6" s="41" t="s">
        <v>116</v>
      </c>
      <c r="BA6" s="41" t="s">
        <v>117</v>
      </c>
    </row>
    <row r="7" spans="1:53" x14ac:dyDescent="0.3">
      <c r="A7" s="42" t="s">
        <v>118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</row>
    <row r="8" spans="1:53" x14ac:dyDescent="0.3">
      <c r="A8" s="42" t="s">
        <v>119</v>
      </c>
      <c r="B8" s="43"/>
      <c r="C8" s="43"/>
      <c r="D8" s="44">
        <f t="shared" ref="D8:D18" si="0">(B8)-(C8)</f>
        <v>0</v>
      </c>
      <c r="E8" s="45" t="str">
        <f t="shared" ref="E8:E18" si="1">IF(C8=0,"",(B8)/(C8))</f>
        <v/>
      </c>
      <c r="F8" s="43"/>
      <c r="G8" s="43"/>
      <c r="H8" s="44">
        <f t="shared" ref="H8:H18" si="2">(F8)-(G8)</f>
        <v>0</v>
      </c>
      <c r="I8" s="45" t="str">
        <f t="shared" ref="I8:I18" si="3">IF(G8=0,"",(F8)/(G8))</f>
        <v/>
      </c>
      <c r="J8" s="43"/>
      <c r="K8" s="43"/>
      <c r="L8" s="44">
        <f t="shared" ref="L8:L18" si="4">(J8)-(K8)</f>
        <v>0</v>
      </c>
      <c r="M8" s="45" t="str">
        <f t="shared" ref="M8:M18" si="5">IF(K8=0,"",(J8)/(K8))</f>
        <v/>
      </c>
      <c r="N8" s="43"/>
      <c r="O8" s="43"/>
      <c r="P8" s="44">
        <f t="shared" ref="P8:P18" si="6">(N8)-(O8)</f>
        <v>0</v>
      </c>
      <c r="Q8" s="45" t="str">
        <f t="shared" ref="Q8:Q18" si="7">IF(O8=0,"",(N8)/(O8))</f>
        <v/>
      </c>
      <c r="R8" s="43"/>
      <c r="S8" s="43"/>
      <c r="T8" s="44">
        <f t="shared" ref="T8:T18" si="8">(R8)-(S8)</f>
        <v>0</v>
      </c>
      <c r="U8" s="45" t="str">
        <f t="shared" ref="U8:U18" si="9">IF(S8=0,"",(R8)/(S8))</f>
        <v/>
      </c>
      <c r="V8" s="43"/>
      <c r="W8" s="43"/>
      <c r="X8" s="44">
        <f t="shared" ref="X8:X18" si="10">(V8)-(W8)</f>
        <v>0</v>
      </c>
      <c r="Y8" s="45" t="str">
        <f t="shared" ref="Y8:Y18" si="11">IF(W8=0,"",(V8)/(W8))</f>
        <v/>
      </c>
      <c r="Z8" s="43"/>
      <c r="AA8" s="43"/>
      <c r="AB8" s="44">
        <f t="shared" ref="AB8:AB18" si="12">(Z8)-(AA8)</f>
        <v>0</v>
      </c>
      <c r="AC8" s="45" t="str">
        <f t="shared" ref="AC8:AC18" si="13">IF(AA8=0,"",(Z8)/(AA8))</f>
        <v/>
      </c>
      <c r="AD8" s="43"/>
      <c r="AE8" s="43"/>
      <c r="AF8" s="44">
        <f t="shared" ref="AF8:AF18" si="14">(AD8)-(AE8)</f>
        <v>0</v>
      </c>
      <c r="AG8" s="45" t="str">
        <f t="shared" ref="AG8:AG18" si="15">IF(AE8=0,"",(AD8)/(AE8))</f>
        <v/>
      </c>
      <c r="AH8" s="43"/>
      <c r="AI8" s="43"/>
      <c r="AJ8" s="44">
        <f t="shared" ref="AJ8:AJ18" si="16">(AH8)-(AI8)</f>
        <v>0</v>
      </c>
      <c r="AK8" s="45" t="str">
        <f t="shared" ref="AK8:AK18" si="17">IF(AI8=0,"",(AH8)/(AI8))</f>
        <v/>
      </c>
      <c r="AL8" s="43"/>
      <c r="AM8" s="43"/>
      <c r="AN8" s="44">
        <f t="shared" ref="AN8:AN18" si="18">(AL8)-(AM8)</f>
        <v>0</v>
      </c>
      <c r="AO8" s="45" t="str">
        <f t="shared" ref="AO8:AO18" si="19">IF(AM8=0,"",(AL8)/(AM8))</f>
        <v/>
      </c>
      <c r="AP8" s="43"/>
      <c r="AQ8" s="43"/>
      <c r="AR8" s="44">
        <f t="shared" ref="AR8:AR18" si="20">(AP8)-(AQ8)</f>
        <v>0</v>
      </c>
      <c r="AS8" s="45" t="str">
        <f t="shared" ref="AS8:AS18" si="21">IF(AQ8=0,"",(AP8)/(AQ8))</f>
        <v/>
      </c>
      <c r="AT8" s="43"/>
      <c r="AU8" s="43"/>
      <c r="AV8" s="44">
        <f t="shared" ref="AV8:AV18" si="22">(AT8)-(AU8)</f>
        <v>0</v>
      </c>
      <c r="AW8" s="45" t="str">
        <f t="shared" ref="AW8:AW18" si="23">IF(AU8=0,"",(AT8)/(AU8))</f>
        <v/>
      </c>
      <c r="AX8" s="44">
        <f t="shared" ref="AX8:AY18" si="24">(((((((((((B8)+(F8))+(J8))+(N8))+(R8))+(V8))+(Z8))+(AD8))+(AH8))+(AL8))+(AP8))+(AT8)</f>
        <v>0</v>
      </c>
      <c r="AY8" s="44">
        <f t="shared" si="24"/>
        <v>0</v>
      </c>
      <c r="AZ8" s="44">
        <f t="shared" ref="AZ8:AZ18" si="25">(AX8)-(AY8)</f>
        <v>0</v>
      </c>
      <c r="BA8" s="45" t="str">
        <f t="shared" ref="BA8:BA18" si="26">IF(AY8=0,"",(AX8)/(AY8))</f>
        <v/>
      </c>
    </row>
    <row r="9" spans="1:53" x14ac:dyDescent="0.3">
      <c r="A9" s="42" t="s">
        <v>120</v>
      </c>
      <c r="B9" s="43"/>
      <c r="C9" s="44">
        <f>583.33</f>
        <v>583.33000000000004</v>
      </c>
      <c r="D9" s="44">
        <f t="shared" si="0"/>
        <v>-583.33000000000004</v>
      </c>
      <c r="E9" s="45">
        <f t="shared" si="1"/>
        <v>0</v>
      </c>
      <c r="F9" s="43"/>
      <c r="G9" s="44">
        <f>583.33</f>
        <v>583.33000000000004</v>
      </c>
      <c r="H9" s="44">
        <f t="shared" si="2"/>
        <v>-583.33000000000004</v>
      </c>
      <c r="I9" s="45">
        <f t="shared" si="3"/>
        <v>0</v>
      </c>
      <c r="J9" s="43"/>
      <c r="K9" s="44">
        <f>583.33</f>
        <v>583.33000000000004</v>
      </c>
      <c r="L9" s="44">
        <f t="shared" si="4"/>
        <v>-583.33000000000004</v>
      </c>
      <c r="M9" s="45">
        <f t="shared" si="5"/>
        <v>0</v>
      </c>
      <c r="N9" s="43"/>
      <c r="O9" s="44">
        <f>583.33</f>
        <v>583.33000000000004</v>
      </c>
      <c r="P9" s="44">
        <f t="shared" si="6"/>
        <v>-583.33000000000004</v>
      </c>
      <c r="Q9" s="45">
        <f t="shared" si="7"/>
        <v>0</v>
      </c>
      <c r="R9" s="44">
        <f>7388</f>
        <v>7388</v>
      </c>
      <c r="S9" s="44">
        <f>583.33</f>
        <v>583.33000000000004</v>
      </c>
      <c r="T9" s="44">
        <f t="shared" si="8"/>
        <v>6804.67</v>
      </c>
      <c r="U9" s="45">
        <f t="shared" si="9"/>
        <v>12.665215229801312</v>
      </c>
      <c r="V9" s="43"/>
      <c r="W9" s="44">
        <f>583.33</f>
        <v>583.33000000000004</v>
      </c>
      <c r="X9" s="44">
        <f t="shared" si="10"/>
        <v>-583.33000000000004</v>
      </c>
      <c r="Y9" s="45">
        <f t="shared" si="11"/>
        <v>0</v>
      </c>
      <c r="Z9" s="43"/>
      <c r="AA9" s="44">
        <f>583.33</f>
        <v>583.33000000000004</v>
      </c>
      <c r="AB9" s="44">
        <f t="shared" si="12"/>
        <v>-583.33000000000004</v>
      </c>
      <c r="AC9" s="45">
        <f t="shared" si="13"/>
        <v>0</v>
      </c>
      <c r="AD9" s="43"/>
      <c r="AE9" s="44">
        <f>583.33</f>
        <v>583.33000000000004</v>
      </c>
      <c r="AF9" s="44">
        <f t="shared" si="14"/>
        <v>-583.33000000000004</v>
      </c>
      <c r="AG9" s="45">
        <f t="shared" si="15"/>
        <v>0</v>
      </c>
      <c r="AH9" s="43"/>
      <c r="AI9" s="44">
        <f>583.33</f>
        <v>583.33000000000004</v>
      </c>
      <c r="AJ9" s="44">
        <f t="shared" si="16"/>
        <v>-583.33000000000004</v>
      </c>
      <c r="AK9" s="45">
        <f t="shared" si="17"/>
        <v>0</v>
      </c>
      <c r="AL9" s="43"/>
      <c r="AM9" s="44">
        <f>583.33</f>
        <v>583.33000000000004</v>
      </c>
      <c r="AN9" s="44">
        <f t="shared" si="18"/>
        <v>-583.33000000000004</v>
      </c>
      <c r="AO9" s="45">
        <f t="shared" si="19"/>
        <v>0</v>
      </c>
      <c r="AP9" s="43"/>
      <c r="AQ9" s="44">
        <f>583.33</f>
        <v>583.33000000000004</v>
      </c>
      <c r="AR9" s="44">
        <f t="shared" si="20"/>
        <v>-583.33000000000004</v>
      </c>
      <c r="AS9" s="45">
        <f t="shared" si="21"/>
        <v>0</v>
      </c>
      <c r="AT9" s="43"/>
      <c r="AU9" s="44">
        <f>583.37</f>
        <v>583.37</v>
      </c>
      <c r="AV9" s="44">
        <f t="shared" si="22"/>
        <v>-583.37</v>
      </c>
      <c r="AW9" s="45">
        <f t="shared" si="23"/>
        <v>0</v>
      </c>
      <c r="AX9" s="44">
        <f t="shared" si="24"/>
        <v>7388</v>
      </c>
      <c r="AY9" s="44">
        <f t="shared" si="24"/>
        <v>7000</v>
      </c>
      <c r="AZ9" s="44">
        <f t="shared" si="25"/>
        <v>388</v>
      </c>
      <c r="BA9" s="45">
        <f t="shared" si="26"/>
        <v>1.0554285714285714</v>
      </c>
    </row>
    <row r="10" spans="1:53" x14ac:dyDescent="0.3">
      <c r="A10" s="42" t="s">
        <v>121</v>
      </c>
      <c r="B10" s="43"/>
      <c r="C10" s="44">
        <f>291.67</f>
        <v>291.67</v>
      </c>
      <c r="D10" s="44">
        <f t="shared" si="0"/>
        <v>-291.67</v>
      </c>
      <c r="E10" s="45">
        <f t="shared" si="1"/>
        <v>0</v>
      </c>
      <c r="F10" s="44">
        <f>1256.8</f>
        <v>1256.8</v>
      </c>
      <c r="G10" s="44">
        <f>291.67</f>
        <v>291.67</v>
      </c>
      <c r="H10" s="44">
        <f t="shared" si="2"/>
        <v>965.12999999999988</v>
      </c>
      <c r="I10" s="45">
        <f t="shared" si="3"/>
        <v>4.3089793259505598</v>
      </c>
      <c r="J10" s="43"/>
      <c r="K10" s="44">
        <f>291.67</f>
        <v>291.67</v>
      </c>
      <c r="L10" s="44">
        <f t="shared" si="4"/>
        <v>-291.67</v>
      </c>
      <c r="M10" s="45">
        <f t="shared" si="5"/>
        <v>0</v>
      </c>
      <c r="N10" s="44">
        <f>6405.37</f>
        <v>6405.37</v>
      </c>
      <c r="O10" s="44">
        <f>291.67</f>
        <v>291.67</v>
      </c>
      <c r="P10" s="44">
        <f t="shared" si="6"/>
        <v>6113.7</v>
      </c>
      <c r="Q10" s="45">
        <f t="shared" si="7"/>
        <v>21.961017588370417</v>
      </c>
      <c r="R10" s="43"/>
      <c r="S10" s="44">
        <f>291.67</f>
        <v>291.67</v>
      </c>
      <c r="T10" s="44">
        <f t="shared" si="8"/>
        <v>-291.67</v>
      </c>
      <c r="U10" s="45">
        <f t="shared" si="9"/>
        <v>0</v>
      </c>
      <c r="V10" s="43"/>
      <c r="W10" s="44">
        <f>291.67</f>
        <v>291.67</v>
      </c>
      <c r="X10" s="44">
        <f t="shared" si="10"/>
        <v>-291.67</v>
      </c>
      <c r="Y10" s="45">
        <f t="shared" si="11"/>
        <v>0</v>
      </c>
      <c r="Z10" s="43"/>
      <c r="AA10" s="44">
        <f>291.67</f>
        <v>291.67</v>
      </c>
      <c r="AB10" s="44">
        <f t="shared" si="12"/>
        <v>-291.67</v>
      </c>
      <c r="AC10" s="45">
        <f t="shared" si="13"/>
        <v>0</v>
      </c>
      <c r="AD10" s="43"/>
      <c r="AE10" s="44">
        <f>291.67</f>
        <v>291.67</v>
      </c>
      <c r="AF10" s="44">
        <f t="shared" si="14"/>
        <v>-291.67</v>
      </c>
      <c r="AG10" s="45">
        <f t="shared" si="15"/>
        <v>0</v>
      </c>
      <c r="AH10" s="43"/>
      <c r="AI10" s="44">
        <f>291.67</f>
        <v>291.67</v>
      </c>
      <c r="AJ10" s="44">
        <f t="shared" si="16"/>
        <v>-291.67</v>
      </c>
      <c r="AK10" s="45">
        <f t="shared" si="17"/>
        <v>0</v>
      </c>
      <c r="AL10" s="43"/>
      <c r="AM10" s="44">
        <f>291.67</f>
        <v>291.67</v>
      </c>
      <c r="AN10" s="44">
        <f t="shared" si="18"/>
        <v>-291.67</v>
      </c>
      <c r="AO10" s="45">
        <f t="shared" si="19"/>
        <v>0</v>
      </c>
      <c r="AP10" s="43"/>
      <c r="AQ10" s="44">
        <f>291.67</f>
        <v>291.67</v>
      </c>
      <c r="AR10" s="44">
        <f t="shared" si="20"/>
        <v>-291.67</v>
      </c>
      <c r="AS10" s="45">
        <f t="shared" si="21"/>
        <v>0</v>
      </c>
      <c r="AT10" s="43"/>
      <c r="AU10" s="44">
        <f>291.63</f>
        <v>291.63</v>
      </c>
      <c r="AV10" s="44">
        <f t="shared" si="22"/>
        <v>-291.63</v>
      </c>
      <c r="AW10" s="45">
        <f t="shared" si="23"/>
        <v>0</v>
      </c>
      <c r="AX10" s="44">
        <f t="shared" si="24"/>
        <v>7662.17</v>
      </c>
      <c r="AY10" s="44">
        <f t="shared" si="24"/>
        <v>3500.0000000000005</v>
      </c>
      <c r="AZ10" s="44">
        <f t="shared" si="25"/>
        <v>4162.17</v>
      </c>
      <c r="BA10" s="45">
        <f t="shared" si="26"/>
        <v>2.1891914285714282</v>
      </c>
    </row>
    <row r="11" spans="1:53" x14ac:dyDescent="0.3">
      <c r="A11" s="42" t="s">
        <v>122</v>
      </c>
      <c r="B11" s="46">
        <f>((B8)+(B9))+(B10)</f>
        <v>0</v>
      </c>
      <c r="C11" s="46">
        <f>((C8)+(C9))+(C10)</f>
        <v>875</v>
      </c>
      <c r="D11" s="46">
        <f t="shared" si="0"/>
        <v>-875</v>
      </c>
      <c r="E11" s="47">
        <f t="shared" si="1"/>
        <v>0</v>
      </c>
      <c r="F11" s="46">
        <f>((F8)+(F9))+(F10)</f>
        <v>1256.8</v>
      </c>
      <c r="G11" s="46">
        <f>((G8)+(G9))+(G10)</f>
        <v>875</v>
      </c>
      <c r="H11" s="46">
        <f t="shared" si="2"/>
        <v>381.79999999999995</v>
      </c>
      <c r="I11" s="47">
        <f t="shared" si="3"/>
        <v>1.4363428571428571</v>
      </c>
      <c r="J11" s="46">
        <f>((J8)+(J9))+(J10)</f>
        <v>0</v>
      </c>
      <c r="K11" s="46">
        <f>((K8)+(K9))+(K10)</f>
        <v>875</v>
      </c>
      <c r="L11" s="46">
        <f t="shared" si="4"/>
        <v>-875</v>
      </c>
      <c r="M11" s="47">
        <f t="shared" si="5"/>
        <v>0</v>
      </c>
      <c r="N11" s="46">
        <f>((N8)+(N9))+(N10)</f>
        <v>6405.37</v>
      </c>
      <c r="O11" s="46">
        <f>((O8)+(O9))+(O10)</f>
        <v>875</v>
      </c>
      <c r="P11" s="46">
        <f t="shared" si="6"/>
        <v>5530.37</v>
      </c>
      <c r="Q11" s="47">
        <f t="shared" si="7"/>
        <v>7.3204228571428569</v>
      </c>
      <c r="R11" s="46">
        <f>((R8)+(R9))+(R10)</f>
        <v>7388</v>
      </c>
      <c r="S11" s="46">
        <f>((S8)+(S9))+(S10)</f>
        <v>875</v>
      </c>
      <c r="T11" s="46">
        <f t="shared" si="8"/>
        <v>6513</v>
      </c>
      <c r="U11" s="47">
        <f t="shared" si="9"/>
        <v>8.4434285714285711</v>
      </c>
      <c r="V11" s="46">
        <f>((V8)+(V9))+(V10)</f>
        <v>0</v>
      </c>
      <c r="W11" s="46">
        <f>((W8)+(W9))+(W10)</f>
        <v>875</v>
      </c>
      <c r="X11" s="46">
        <f t="shared" si="10"/>
        <v>-875</v>
      </c>
      <c r="Y11" s="47">
        <f t="shared" si="11"/>
        <v>0</v>
      </c>
      <c r="Z11" s="46">
        <f>((Z8)+(Z9))+(Z10)</f>
        <v>0</v>
      </c>
      <c r="AA11" s="46">
        <f>((AA8)+(AA9))+(AA10)</f>
        <v>875</v>
      </c>
      <c r="AB11" s="46">
        <f t="shared" si="12"/>
        <v>-875</v>
      </c>
      <c r="AC11" s="47">
        <f t="shared" si="13"/>
        <v>0</v>
      </c>
      <c r="AD11" s="46">
        <f>((AD8)+(AD9))+(AD10)</f>
        <v>0</v>
      </c>
      <c r="AE11" s="46">
        <f>((AE8)+(AE9))+(AE10)</f>
        <v>875</v>
      </c>
      <c r="AF11" s="46">
        <f t="shared" si="14"/>
        <v>-875</v>
      </c>
      <c r="AG11" s="47">
        <f t="shared" si="15"/>
        <v>0</v>
      </c>
      <c r="AH11" s="46">
        <f>((AH8)+(AH9))+(AH10)</f>
        <v>0</v>
      </c>
      <c r="AI11" s="46">
        <f>((AI8)+(AI9))+(AI10)</f>
        <v>875</v>
      </c>
      <c r="AJ11" s="46">
        <f t="shared" si="16"/>
        <v>-875</v>
      </c>
      <c r="AK11" s="47">
        <f t="shared" si="17"/>
        <v>0</v>
      </c>
      <c r="AL11" s="46">
        <f>((AL8)+(AL9))+(AL10)</f>
        <v>0</v>
      </c>
      <c r="AM11" s="46">
        <f>((AM8)+(AM9))+(AM10)</f>
        <v>875</v>
      </c>
      <c r="AN11" s="46">
        <f t="shared" si="18"/>
        <v>-875</v>
      </c>
      <c r="AO11" s="47">
        <f t="shared" si="19"/>
        <v>0</v>
      </c>
      <c r="AP11" s="46">
        <f>((AP8)+(AP9))+(AP10)</f>
        <v>0</v>
      </c>
      <c r="AQ11" s="46">
        <f>((AQ8)+(AQ9))+(AQ10)</f>
        <v>875</v>
      </c>
      <c r="AR11" s="46">
        <f t="shared" si="20"/>
        <v>-875</v>
      </c>
      <c r="AS11" s="47">
        <f t="shared" si="21"/>
        <v>0</v>
      </c>
      <c r="AT11" s="46">
        <f>((AT8)+(AT9))+(AT10)</f>
        <v>0</v>
      </c>
      <c r="AU11" s="46">
        <f>((AU8)+(AU9))+(AU10)</f>
        <v>875</v>
      </c>
      <c r="AV11" s="46">
        <f t="shared" si="22"/>
        <v>-875</v>
      </c>
      <c r="AW11" s="47">
        <f t="shared" si="23"/>
        <v>0</v>
      </c>
      <c r="AX11" s="46">
        <f t="shared" si="24"/>
        <v>15050.17</v>
      </c>
      <c r="AY11" s="46">
        <f t="shared" si="24"/>
        <v>10500</v>
      </c>
      <c r="AZ11" s="46">
        <f t="shared" si="25"/>
        <v>4550.17</v>
      </c>
      <c r="BA11" s="47">
        <f t="shared" si="26"/>
        <v>1.4333495238095237</v>
      </c>
    </row>
    <row r="12" spans="1:53" x14ac:dyDescent="0.3">
      <c r="A12" s="42" t="s">
        <v>123</v>
      </c>
      <c r="B12" s="44">
        <f>175.1</f>
        <v>175.1</v>
      </c>
      <c r="C12" s="44">
        <f>166.67</f>
        <v>166.67</v>
      </c>
      <c r="D12" s="44">
        <f t="shared" si="0"/>
        <v>8.4300000000000068</v>
      </c>
      <c r="E12" s="45">
        <f t="shared" si="1"/>
        <v>1.0505789884202317</v>
      </c>
      <c r="F12" s="44">
        <f>271.34</f>
        <v>271.33999999999997</v>
      </c>
      <c r="G12" s="44">
        <f>166.67</f>
        <v>166.67</v>
      </c>
      <c r="H12" s="44">
        <f t="shared" si="2"/>
        <v>104.66999999999999</v>
      </c>
      <c r="I12" s="45">
        <f t="shared" si="3"/>
        <v>1.628007439851203</v>
      </c>
      <c r="J12" s="44">
        <f>198.3</f>
        <v>198.3</v>
      </c>
      <c r="K12" s="44">
        <f>166.67</f>
        <v>166.67</v>
      </c>
      <c r="L12" s="44">
        <f t="shared" si="4"/>
        <v>31.630000000000024</v>
      </c>
      <c r="M12" s="45">
        <f t="shared" si="5"/>
        <v>1.1897762044759106</v>
      </c>
      <c r="N12" s="44">
        <f>275.2</f>
        <v>275.2</v>
      </c>
      <c r="O12" s="44">
        <f>166.67</f>
        <v>166.67</v>
      </c>
      <c r="P12" s="44">
        <f t="shared" si="6"/>
        <v>108.53</v>
      </c>
      <c r="Q12" s="45">
        <f t="shared" si="7"/>
        <v>1.6511669766604669</v>
      </c>
      <c r="R12" s="44">
        <f>211.2</f>
        <v>211.2</v>
      </c>
      <c r="S12" s="44">
        <f>166.67</f>
        <v>166.67</v>
      </c>
      <c r="T12" s="44">
        <f t="shared" si="8"/>
        <v>44.53</v>
      </c>
      <c r="U12" s="45">
        <f t="shared" si="9"/>
        <v>1.2671746565068698</v>
      </c>
      <c r="V12" s="44">
        <f>288</f>
        <v>288</v>
      </c>
      <c r="W12" s="44">
        <f>166.67</f>
        <v>166.67</v>
      </c>
      <c r="X12" s="44">
        <f t="shared" si="10"/>
        <v>121.33000000000001</v>
      </c>
      <c r="Y12" s="45">
        <f t="shared" si="11"/>
        <v>1.7279654406911864</v>
      </c>
      <c r="Z12" s="44">
        <f>469.2</f>
        <v>469.2</v>
      </c>
      <c r="AA12" s="44">
        <f>166.67</f>
        <v>166.67</v>
      </c>
      <c r="AB12" s="44">
        <f t="shared" si="12"/>
        <v>302.52999999999997</v>
      </c>
      <c r="AC12" s="45">
        <f t="shared" si="13"/>
        <v>2.8151436971260577</v>
      </c>
      <c r="AD12" s="44">
        <f>395.75</f>
        <v>395.75</v>
      </c>
      <c r="AE12" s="44">
        <f>166.67</f>
        <v>166.67</v>
      </c>
      <c r="AF12" s="44">
        <f t="shared" si="14"/>
        <v>229.08</v>
      </c>
      <c r="AG12" s="45">
        <f t="shared" si="15"/>
        <v>2.3744525109497814</v>
      </c>
      <c r="AH12" s="43"/>
      <c r="AI12" s="44">
        <f>166.67</f>
        <v>166.67</v>
      </c>
      <c r="AJ12" s="44">
        <f t="shared" si="16"/>
        <v>-166.67</v>
      </c>
      <c r="AK12" s="45">
        <f t="shared" si="17"/>
        <v>0</v>
      </c>
      <c r="AL12" s="43"/>
      <c r="AM12" s="44">
        <f>166.67</f>
        <v>166.67</v>
      </c>
      <c r="AN12" s="44">
        <f t="shared" si="18"/>
        <v>-166.67</v>
      </c>
      <c r="AO12" s="45">
        <f t="shared" si="19"/>
        <v>0</v>
      </c>
      <c r="AP12" s="43"/>
      <c r="AQ12" s="44">
        <f>166.67</f>
        <v>166.67</v>
      </c>
      <c r="AR12" s="44">
        <f t="shared" si="20"/>
        <v>-166.67</v>
      </c>
      <c r="AS12" s="45">
        <f t="shared" si="21"/>
        <v>0</v>
      </c>
      <c r="AT12" s="43"/>
      <c r="AU12" s="44">
        <f>166.63</f>
        <v>166.63</v>
      </c>
      <c r="AV12" s="44">
        <f t="shared" si="22"/>
        <v>-166.63</v>
      </c>
      <c r="AW12" s="45">
        <f t="shared" si="23"/>
        <v>0</v>
      </c>
      <c r="AX12" s="44">
        <f t="shared" si="24"/>
        <v>2284.09</v>
      </c>
      <c r="AY12" s="44">
        <f t="shared" si="24"/>
        <v>2000</v>
      </c>
      <c r="AZ12" s="44">
        <f t="shared" si="25"/>
        <v>284.09000000000015</v>
      </c>
      <c r="BA12" s="45">
        <f t="shared" si="26"/>
        <v>1.142045</v>
      </c>
    </row>
    <row r="13" spans="1:53" x14ac:dyDescent="0.3">
      <c r="A13" s="42" t="s">
        <v>124</v>
      </c>
      <c r="B13" s="44">
        <f>12</f>
        <v>12</v>
      </c>
      <c r="C13" s="44">
        <f>41.67</f>
        <v>41.67</v>
      </c>
      <c r="D13" s="44">
        <f t="shared" si="0"/>
        <v>-29.67</v>
      </c>
      <c r="E13" s="45">
        <f t="shared" si="1"/>
        <v>0.28797696184305255</v>
      </c>
      <c r="F13" s="44">
        <f>89.63</f>
        <v>89.63</v>
      </c>
      <c r="G13" s="44">
        <f>41.67</f>
        <v>41.67</v>
      </c>
      <c r="H13" s="44">
        <f t="shared" si="2"/>
        <v>47.959999999999994</v>
      </c>
      <c r="I13" s="45">
        <f t="shared" si="3"/>
        <v>2.1509479241660667</v>
      </c>
      <c r="J13" s="44">
        <f>87.9</f>
        <v>87.9</v>
      </c>
      <c r="K13" s="44">
        <f>41.67</f>
        <v>41.67</v>
      </c>
      <c r="L13" s="44">
        <f t="shared" si="4"/>
        <v>46.230000000000004</v>
      </c>
      <c r="M13" s="45">
        <f t="shared" si="5"/>
        <v>2.1094312455003599</v>
      </c>
      <c r="N13" s="44">
        <f>31.85</f>
        <v>31.85</v>
      </c>
      <c r="O13" s="44">
        <f>41.67</f>
        <v>41.67</v>
      </c>
      <c r="P13" s="44">
        <f t="shared" si="6"/>
        <v>-9.82</v>
      </c>
      <c r="Q13" s="45">
        <f t="shared" si="7"/>
        <v>0.76433885289176862</v>
      </c>
      <c r="R13" s="44">
        <f>27.95</f>
        <v>27.95</v>
      </c>
      <c r="S13" s="44">
        <f>41.67</f>
        <v>41.67</v>
      </c>
      <c r="T13" s="44">
        <f t="shared" si="8"/>
        <v>-13.720000000000002</v>
      </c>
      <c r="U13" s="45">
        <f t="shared" si="9"/>
        <v>0.67074634029277658</v>
      </c>
      <c r="V13" s="44">
        <f>112.39</f>
        <v>112.39</v>
      </c>
      <c r="W13" s="44">
        <f>41.67</f>
        <v>41.67</v>
      </c>
      <c r="X13" s="44">
        <f t="shared" si="10"/>
        <v>70.72</v>
      </c>
      <c r="Y13" s="45">
        <f t="shared" si="11"/>
        <v>2.6971442284617231</v>
      </c>
      <c r="Z13" s="43"/>
      <c r="AA13" s="44">
        <f>41.67</f>
        <v>41.67</v>
      </c>
      <c r="AB13" s="44">
        <f t="shared" si="12"/>
        <v>-41.67</v>
      </c>
      <c r="AC13" s="45">
        <f t="shared" si="13"/>
        <v>0</v>
      </c>
      <c r="AD13" s="43"/>
      <c r="AE13" s="44">
        <f>41.67</f>
        <v>41.67</v>
      </c>
      <c r="AF13" s="44">
        <f t="shared" si="14"/>
        <v>-41.67</v>
      </c>
      <c r="AG13" s="45">
        <f t="shared" si="15"/>
        <v>0</v>
      </c>
      <c r="AH13" s="43"/>
      <c r="AI13" s="44">
        <f>41.67</f>
        <v>41.67</v>
      </c>
      <c r="AJ13" s="44">
        <f t="shared" si="16"/>
        <v>-41.67</v>
      </c>
      <c r="AK13" s="45">
        <f t="shared" si="17"/>
        <v>0</v>
      </c>
      <c r="AL13" s="43"/>
      <c r="AM13" s="44">
        <f>41.67</f>
        <v>41.67</v>
      </c>
      <c r="AN13" s="44">
        <f t="shared" si="18"/>
        <v>-41.67</v>
      </c>
      <c r="AO13" s="45">
        <f t="shared" si="19"/>
        <v>0</v>
      </c>
      <c r="AP13" s="43"/>
      <c r="AQ13" s="44">
        <f>41.67</f>
        <v>41.67</v>
      </c>
      <c r="AR13" s="44">
        <f t="shared" si="20"/>
        <v>-41.67</v>
      </c>
      <c r="AS13" s="45">
        <f t="shared" si="21"/>
        <v>0</v>
      </c>
      <c r="AT13" s="43"/>
      <c r="AU13" s="44">
        <f>41.63</f>
        <v>41.63</v>
      </c>
      <c r="AV13" s="44">
        <f t="shared" si="22"/>
        <v>-41.63</v>
      </c>
      <c r="AW13" s="45">
        <f t="shared" si="23"/>
        <v>0</v>
      </c>
      <c r="AX13" s="44">
        <f t="shared" si="24"/>
        <v>361.71999999999997</v>
      </c>
      <c r="AY13" s="44">
        <f t="shared" si="24"/>
        <v>500.00000000000011</v>
      </c>
      <c r="AZ13" s="44">
        <f t="shared" si="25"/>
        <v>-138.28000000000014</v>
      </c>
      <c r="BA13" s="45">
        <f t="shared" si="26"/>
        <v>0.72343999999999975</v>
      </c>
    </row>
    <row r="14" spans="1:53" x14ac:dyDescent="0.3">
      <c r="A14" s="42" t="s">
        <v>125</v>
      </c>
      <c r="B14" s="44">
        <f>4077.44</f>
        <v>4077.44</v>
      </c>
      <c r="C14" s="44">
        <f>1250</f>
        <v>1250</v>
      </c>
      <c r="D14" s="44">
        <f t="shared" si="0"/>
        <v>2827.44</v>
      </c>
      <c r="E14" s="45">
        <f t="shared" si="1"/>
        <v>3.261952</v>
      </c>
      <c r="F14" s="44">
        <f>3800.65</f>
        <v>3800.65</v>
      </c>
      <c r="G14" s="44">
        <f>1250</f>
        <v>1250</v>
      </c>
      <c r="H14" s="44">
        <f t="shared" si="2"/>
        <v>2550.65</v>
      </c>
      <c r="I14" s="45">
        <f t="shared" si="3"/>
        <v>3.0405199999999999</v>
      </c>
      <c r="J14" s="44">
        <f>3527.15</f>
        <v>3527.15</v>
      </c>
      <c r="K14" s="44">
        <f>1250</f>
        <v>1250</v>
      </c>
      <c r="L14" s="44">
        <f t="shared" si="4"/>
        <v>2277.15</v>
      </c>
      <c r="M14" s="45">
        <f t="shared" si="5"/>
        <v>2.82172</v>
      </c>
      <c r="N14" s="44">
        <f>4322.1</f>
        <v>4322.1000000000004</v>
      </c>
      <c r="O14" s="44">
        <f>1250</f>
        <v>1250</v>
      </c>
      <c r="P14" s="44">
        <f t="shared" si="6"/>
        <v>3072.1000000000004</v>
      </c>
      <c r="Q14" s="45">
        <f t="shared" si="7"/>
        <v>3.4576800000000003</v>
      </c>
      <c r="R14" s="44">
        <f>4504.04</f>
        <v>4504.04</v>
      </c>
      <c r="S14" s="44">
        <f>1250</f>
        <v>1250</v>
      </c>
      <c r="T14" s="44">
        <f t="shared" si="8"/>
        <v>3254.04</v>
      </c>
      <c r="U14" s="45">
        <f t="shared" si="9"/>
        <v>3.6032319999999998</v>
      </c>
      <c r="V14" s="44">
        <f>4979.01</f>
        <v>4979.01</v>
      </c>
      <c r="W14" s="44">
        <f>1250</f>
        <v>1250</v>
      </c>
      <c r="X14" s="44">
        <f t="shared" si="10"/>
        <v>3729.01</v>
      </c>
      <c r="Y14" s="45">
        <f t="shared" si="11"/>
        <v>3.9832080000000003</v>
      </c>
      <c r="Z14" s="44">
        <f>5014.71</f>
        <v>5014.71</v>
      </c>
      <c r="AA14" s="44">
        <f>1250</f>
        <v>1250</v>
      </c>
      <c r="AB14" s="44">
        <f t="shared" si="12"/>
        <v>3764.71</v>
      </c>
      <c r="AC14" s="45">
        <f t="shared" si="13"/>
        <v>4.011768</v>
      </c>
      <c r="AD14" s="44">
        <f>5626.17</f>
        <v>5626.17</v>
      </c>
      <c r="AE14" s="44">
        <f>1250</f>
        <v>1250</v>
      </c>
      <c r="AF14" s="44">
        <f t="shared" si="14"/>
        <v>4376.17</v>
      </c>
      <c r="AG14" s="45">
        <f t="shared" si="15"/>
        <v>4.5009360000000003</v>
      </c>
      <c r="AH14" s="43"/>
      <c r="AI14" s="44">
        <f>1250</f>
        <v>1250</v>
      </c>
      <c r="AJ14" s="44">
        <f t="shared" si="16"/>
        <v>-1250</v>
      </c>
      <c r="AK14" s="45">
        <f t="shared" si="17"/>
        <v>0</v>
      </c>
      <c r="AL14" s="43"/>
      <c r="AM14" s="44">
        <f>1250</f>
        <v>1250</v>
      </c>
      <c r="AN14" s="44">
        <f t="shared" si="18"/>
        <v>-1250</v>
      </c>
      <c r="AO14" s="45">
        <f t="shared" si="19"/>
        <v>0</v>
      </c>
      <c r="AP14" s="43"/>
      <c r="AQ14" s="44">
        <f>1250</f>
        <v>1250</v>
      </c>
      <c r="AR14" s="44">
        <f t="shared" si="20"/>
        <v>-1250</v>
      </c>
      <c r="AS14" s="45">
        <f t="shared" si="21"/>
        <v>0</v>
      </c>
      <c r="AT14" s="43"/>
      <c r="AU14" s="44">
        <f>1250</f>
        <v>1250</v>
      </c>
      <c r="AV14" s="44">
        <f t="shared" si="22"/>
        <v>-1250</v>
      </c>
      <c r="AW14" s="45">
        <f t="shared" si="23"/>
        <v>0</v>
      </c>
      <c r="AX14" s="44">
        <f t="shared" si="24"/>
        <v>35851.269999999997</v>
      </c>
      <c r="AY14" s="44">
        <f t="shared" si="24"/>
        <v>15000</v>
      </c>
      <c r="AZ14" s="44">
        <f t="shared" si="25"/>
        <v>20851.269999999997</v>
      </c>
      <c r="BA14" s="45">
        <f t="shared" si="26"/>
        <v>2.3900846666666666</v>
      </c>
    </row>
    <row r="15" spans="1:53" x14ac:dyDescent="0.3">
      <c r="A15" s="42" t="s">
        <v>126</v>
      </c>
      <c r="B15" s="44">
        <f>5630.87</f>
        <v>5630.87</v>
      </c>
      <c r="C15" s="44">
        <f>83999.5</f>
        <v>83999.5</v>
      </c>
      <c r="D15" s="44">
        <f t="shared" si="0"/>
        <v>-78368.63</v>
      </c>
      <c r="E15" s="45">
        <f t="shared" si="1"/>
        <v>6.7034565681938579E-2</v>
      </c>
      <c r="F15" s="44">
        <f>354615.62</f>
        <v>354615.62</v>
      </c>
      <c r="G15" s="44">
        <f>83999.5</f>
        <v>83999.5</v>
      </c>
      <c r="H15" s="44">
        <f t="shared" si="2"/>
        <v>270616.12</v>
      </c>
      <c r="I15" s="45">
        <f t="shared" si="3"/>
        <v>4.2216396526169797</v>
      </c>
      <c r="J15" s="44">
        <f>69263.99</f>
        <v>69263.990000000005</v>
      </c>
      <c r="K15" s="44">
        <f>83999.5</f>
        <v>83999.5</v>
      </c>
      <c r="L15" s="44">
        <f t="shared" si="4"/>
        <v>-14735.509999999995</v>
      </c>
      <c r="M15" s="45">
        <f t="shared" si="5"/>
        <v>0.82457621771558165</v>
      </c>
      <c r="N15" s="44">
        <f>198211.19</f>
        <v>198211.19</v>
      </c>
      <c r="O15" s="44">
        <f>83999.5</f>
        <v>83999.5</v>
      </c>
      <c r="P15" s="44">
        <f t="shared" si="6"/>
        <v>114211.69</v>
      </c>
      <c r="Q15" s="45">
        <f t="shared" si="7"/>
        <v>2.3596710694706515</v>
      </c>
      <c r="R15" s="44">
        <f>59198.42</f>
        <v>59198.42</v>
      </c>
      <c r="S15" s="44">
        <f>83999.5</f>
        <v>83999.5</v>
      </c>
      <c r="T15" s="44">
        <f t="shared" si="8"/>
        <v>-24801.08</v>
      </c>
      <c r="U15" s="45">
        <f t="shared" si="9"/>
        <v>0.70474729016244142</v>
      </c>
      <c r="V15" s="44">
        <f>286231.79</f>
        <v>286231.78999999998</v>
      </c>
      <c r="W15" s="44">
        <f>83999.5</f>
        <v>83999.5</v>
      </c>
      <c r="X15" s="44">
        <f t="shared" si="10"/>
        <v>202232.28999999998</v>
      </c>
      <c r="Y15" s="45">
        <f t="shared" si="11"/>
        <v>3.407541592509479</v>
      </c>
      <c r="Z15" s="44">
        <f>13128.54</f>
        <v>13128.54</v>
      </c>
      <c r="AA15" s="44">
        <f>83999.5</f>
        <v>83999.5</v>
      </c>
      <c r="AB15" s="44">
        <f t="shared" si="12"/>
        <v>-70870.959999999992</v>
      </c>
      <c r="AC15" s="45">
        <f t="shared" si="13"/>
        <v>0.1562930731730546</v>
      </c>
      <c r="AD15" s="44">
        <f>5925.03</f>
        <v>5925.03</v>
      </c>
      <c r="AE15" s="44">
        <f>83999.5</f>
        <v>83999.5</v>
      </c>
      <c r="AF15" s="44">
        <f t="shared" si="14"/>
        <v>-78074.47</v>
      </c>
      <c r="AG15" s="45">
        <f t="shared" si="15"/>
        <v>7.053649128863862E-2</v>
      </c>
      <c r="AH15" s="43"/>
      <c r="AI15" s="44">
        <f>83999.5</f>
        <v>83999.5</v>
      </c>
      <c r="AJ15" s="44">
        <f t="shared" si="16"/>
        <v>-83999.5</v>
      </c>
      <c r="AK15" s="45">
        <f t="shared" si="17"/>
        <v>0</v>
      </c>
      <c r="AL15" s="43"/>
      <c r="AM15" s="44">
        <f>83999.5</f>
        <v>83999.5</v>
      </c>
      <c r="AN15" s="44">
        <f t="shared" si="18"/>
        <v>-83999.5</v>
      </c>
      <c r="AO15" s="45">
        <f t="shared" si="19"/>
        <v>0</v>
      </c>
      <c r="AP15" s="43"/>
      <c r="AQ15" s="44">
        <f>83999.5</f>
        <v>83999.5</v>
      </c>
      <c r="AR15" s="44">
        <f t="shared" si="20"/>
        <v>-83999.5</v>
      </c>
      <c r="AS15" s="45">
        <f t="shared" si="21"/>
        <v>0</v>
      </c>
      <c r="AT15" s="43"/>
      <c r="AU15" s="44">
        <f>83999.5</f>
        <v>83999.5</v>
      </c>
      <c r="AV15" s="44">
        <f t="shared" si="22"/>
        <v>-83999.5</v>
      </c>
      <c r="AW15" s="45">
        <f t="shared" si="23"/>
        <v>0</v>
      </c>
      <c r="AX15" s="44">
        <f t="shared" si="24"/>
        <v>992205.45</v>
      </c>
      <c r="AY15" s="44">
        <f t="shared" si="24"/>
        <v>1007994</v>
      </c>
      <c r="AZ15" s="44">
        <f t="shared" si="25"/>
        <v>-15788.550000000047</v>
      </c>
      <c r="BA15" s="45">
        <f t="shared" si="26"/>
        <v>0.98433666271823039</v>
      </c>
    </row>
    <row r="16" spans="1:53" x14ac:dyDescent="0.3">
      <c r="A16" s="42" t="s">
        <v>127</v>
      </c>
      <c r="B16" s="44">
        <f>4980.86</f>
        <v>4980.8599999999997</v>
      </c>
      <c r="C16" s="44">
        <f>3750</f>
        <v>3750</v>
      </c>
      <c r="D16" s="44">
        <f t="shared" si="0"/>
        <v>1230.8599999999997</v>
      </c>
      <c r="E16" s="45">
        <f t="shared" si="1"/>
        <v>1.3282293333333333</v>
      </c>
      <c r="F16" s="44">
        <f>4391.99</f>
        <v>4391.99</v>
      </c>
      <c r="G16" s="44">
        <f>3750</f>
        <v>3750</v>
      </c>
      <c r="H16" s="44">
        <f t="shared" si="2"/>
        <v>641.98999999999978</v>
      </c>
      <c r="I16" s="45">
        <f t="shared" si="3"/>
        <v>1.1711973333333332</v>
      </c>
      <c r="J16" s="44">
        <f>5527.95</f>
        <v>5527.95</v>
      </c>
      <c r="K16" s="44">
        <f>3750</f>
        <v>3750</v>
      </c>
      <c r="L16" s="44">
        <f t="shared" si="4"/>
        <v>1777.9499999999998</v>
      </c>
      <c r="M16" s="45">
        <f t="shared" si="5"/>
        <v>1.4741199999999999</v>
      </c>
      <c r="N16" s="44">
        <f>4440.49</f>
        <v>4440.49</v>
      </c>
      <c r="O16" s="44">
        <f>3750</f>
        <v>3750</v>
      </c>
      <c r="P16" s="44">
        <f t="shared" si="6"/>
        <v>690.48999999999978</v>
      </c>
      <c r="Q16" s="45">
        <f t="shared" si="7"/>
        <v>1.1841306666666667</v>
      </c>
      <c r="R16" s="44">
        <f>4706.21</f>
        <v>4706.21</v>
      </c>
      <c r="S16" s="44">
        <f>3750</f>
        <v>3750</v>
      </c>
      <c r="T16" s="44">
        <f t="shared" si="8"/>
        <v>956.21</v>
      </c>
      <c r="U16" s="45">
        <f t="shared" si="9"/>
        <v>1.2549893333333333</v>
      </c>
      <c r="V16" s="44">
        <f>4777.76</f>
        <v>4777.76</v>
      </c>
      <c r="W16" s="44">
        <f>3750</f>
        <v>3750</v>
      </c>
      <c r="X16" s="44">
        <f t="shared" si="10"/>
        <v>1027.7600000000002</v>
      </c>
      <c r="Y16" s="45">
        <f t="shared" si="11"/>
        <v>1.2740693333333335</v>
      </c>
      <c r="Z16" s="44">
        <f>5257.11</f>
        <v>5257.11</v>
      </c>
      <c r="AA16" s="44">
        <f>3750</f>
        <v>3750</v>
      </c>
      <c r="AB16" s="44">
        <f t="shared" si="12"/>
        <v>1507.1099999999997</v>
      </c>
      <c r="AC16" s="45">
        <f t="shared" si="13"/>
        <v>1.4018959999999998</v>
      </c>
      <c r="AD16" s="44">
        <f>5166.77</f>
        <v>5166.7700000000004</v>
      </c>
      <c r="AE16" s="44">
        <f>3750</f>
        <v>3750</v>
      </c>
      <c r="AF16" s="44">
        <f t="shared" si="14"/>
        <v>1416.7700000000004</v>
      </c>
      <c r="AG16" s="45">
        <f t="shared" si="15"/>
        <v>1.3778053333333335</v>
      </c>
      <c r="AH16" s="43"/>
      <c r="AI16" s="44">
        <f>3750</f>
        <v>3750</v>
      </c>
      <c r="AJ16" s="44">
        <f t="shared" si="16"/>
        <v>-3750</v>
      </c>
      <c r="AK16" s="45">
        <f t="shared" si="17"/>
        <v>0</v>
      </c>
      <c r="AL16" s="43"/>
      <c r="AM16" s="44">
        <f>3750</f>
        <v>3750</v>
      </c>
      <c r="AN16" s="44">
        <f t="shared" si="18"/>
        <v>-3750</v>
      </c>
      <c r="AO16" s="45">
        <f t="shared" si="19"/>
        <v>0</v>
      </c>
      <c r="AP16" s="43"/>
      <c r="AQ16" s="44">
        <f>3750</f>
        <v>3750</v>
      </c>
      <c r="AR16" s="44">
        <f t="shared" si="20"/>
        <v>-3750</v>
      </c>
      <c r="AS16" s="45">
        <f t="shared" si="21"/>
        <v>0</v>
      </c>
      <c r="AT16" s="43"/>
      <c r="AU16" s="44">
        <f>3750</f>
        <v>3750</v>
      </c>
      <c r="AV16" s="44">
        <f t="shared" si="22"/>
        <v>-3750</v>
      </c>
      <c r="AW16" s="45">
        <f t="shared" si="23"/>
        <v>0</v>
      </c>
      <c r="AX16" s="44">
        <f t="shared" si="24"/>
        <v>39249.14</v>
      </c>
      <c r="AY16" s="44">
        <f t="shared" si="24"/>
        <v>45000</v>
      </c>
      <c r="AZ16" s="44">
        <f t="shared" si="25"/>
        <v>-5750.8600000000006</v>
      </c>
      <c r="BA16" s="45">
        <f t="shared" si="26"/>
        <v>0.87220311111111115</v>
      </c>
    </row>
    <row r="17" spans="1:53" x14ac:dyDescent="0.3">
      <c r="A17" s="42" t="s">
        <v>128</v>
      </c>
      <c r="B17" s="46">
        <f>(((((B11)+(B12))+(B13))+(B14))+(B15))+(B16)</f>
        <v>14876.27</v>
      </c>
      <c r="C17" s="46">
        <f>(((((C11)+(C12))+(C13))+(C14))+(C15))+(C16)</f>
        <v>90082.84</v>
      </c>
      <c r="D17" s="46">
        <f t="shared" si="0"/>
        <v>-75206.569999999992</v>
      </c>
      <c r="E17" s="47">
        <f t="shared" si="1"/>
        <v>0.16513988679752992</v>
      </c>
      <c r="F17" s="46">
        <f>(((((F11)+(F12))+(F13))+(F14))+(F15))+(F16)</f>
        <v>364426.02999999997</v>
      </c>
      <c r="G17" s="46">
        <f>(((((G11)+(G12))+(G13))+(G14))+(G15))+(G16)</f>
        <v>90082.84</v>
      </c>
      <c r="H17" s="46">
        <f t="shared" si="2"/>
        <v>274343.18999999994</v>
      </c>
      <c r="I17" s="47">
        <f t="shared" si="3"/>
        <v>4.0454544949959388</v>
      </c>
      <c r="J17" s="46">
        <f>(((((J11)+(J12))+(J13))+(J14))+(J15))+(J16)</f>
        <v>78605.290000000008</v>
      </c>
      <c r="K17" s="46">
        <f>(((((K11)+(K12))+(K13))+(K14))+(K15))+(K16)</f>
        <v>90082.84</v>
      </c>
      <c r="L17" s="46">
        <f t="shared" si="4"/>
        <v>-11477.549999999988</v>
      </c>
      <c r="M17" s="47">
        <f t="shared" si="5"/>
        <v>0.87258894146765364</v>
      </c>
      <c r="N17" s="46">
        <f>(((((N11)+(N12))+(N13))+(N14))+(N15))+(N16)</f>
        <v>213686.19999999998</v>
      </c>
      <c r="O17" s="46">
        <f>(((((O11)+(O12))+(O13))+(O14))+(O15))+(O16)</f>
        <v>90082.84</v>
      </c>
      <c r="P17" s="46">
        <f t="shared" si="6"/>
        <v>123603.35999999999</v>
      </c>
      <c r="Q17" s="47">
        <f t="shared" si="7"/>
        <v>2.3721077177406928</v>
      </c>
      <c r="R17" s="46">
        <f>(((((R11)+(R12))+(R13))+(R14))+(R15))+(R16)</f>
        <v>76035.820000000007</v>
      </c>
      <c r="S17" s="46">
        <f>(((((S11)+(S12))+(S13))+(S14))+(S15))+(S16)</f>
        <v>90082.84</v>
      </c>
      <c r="T17" s="46">
        <f t="shared" si="8"/>
        <v>-14047.01999999999</v>
      </c>
      <c r="U17" s="47">
        <f t="shared" si="9"/>
        <v>0.84406552901751331</v>
      </c>
      <c r="V17" s="46">
        <f>(((((V11)+(V12))+(V13))+(V14))+(V15))+(V16)</f>
        <v>296388.95</v>
      </c>
      <c r="W17" s="46">
        <f>(((((W11)+(W12))+(W13))+(W14))+(W15))+(W16)</f>
        <v>90082.84</v>
      </c>
      <c r="X17" s="46">
        <f t="shared" si="10"/>
        <v>206306.11000000002</v>
      </c>
      <c r="Y17" s="47">
        <f t="shared" si="11"/>
        <v>3.2901821256967478</v>
      </c>
      <c r="Z17" s="46">
        <f>(((((Z11)+(Z12))+(Z13))+(Z14))+(Z15))+(Z16)</f>
        <v>23869.56</v>
      </c>
      <c r="AA17" s="46">
        <f>(((((AA11)+(AA12))+(AA13))+(AA14))+(AA15))+(AA16)</f>
        <v>90082.84</v>
      </c>
      <c r="AB17" s="46">
        <f t="shared" si="12"/>
        <v>-66213.279999999999</v>
      </c>
      <c r="AC17" s="47">
        <f t="shared" si="13"/>
        <v>0.26497344000255768</v>
      </c>
      <c r="AD17" s="46">
        <f>(((((AD11)+(AD12))+(AD13))+(AD14))+(AD15))+(AD16)</f>
        <v>17113.72</v>
      </c>
      <c r="AE17" s="46">
        <f>(((((AE11)+(AE12))+(AE13))+(AE14))+(AE15))+(AE16)</f>
        <v>90082.84</v>
      </c>
      <c r="AF17" s="46">
        <f t="shared" si="14"/>
        <v>-72969.119999999995</v>
      </c>
      <c r="AG17" s="47">
        <f t="shared" si="15"/>
        <v>0.18997758063577927</v>
      </c>
      <c r="AH17" s="46">
        <f>(((((AH11)+(AH12))+(AH13))+(AH14))+(AH15))+(AH16)</f>
        <v>0</v>
      </c>
      <c r="AI17" s="46">
        <f>(((((AI11)+(AI12))+(AI13))+(AI14))+(AI15))+(AI16)</f>
        <v>90082.84</v>
      </c>
      <c r="AJ17" s="46">
        <f t="shared" si="16"/>
        <v>-90082.84</v>
      </c>
      <c r="AK17" s="47">
        <f t="shared" si="17"/>
        <v>0</v>
      </c>
      <c r="AL17" s="46">
        <f>(((((AL11)+(AL12))+(AL13))+(AL14))+(AL15))+(AL16)</f>
        <v>0</v>
      </c>
      <c r="AM17" s="46">
        <f>(((((AM11)+(AM12))+(AM13))+(AM14))+(AM15))+(AM16)</f>
        <v>90082.84</v>
      </c>
      <c r="AN17" s="46">
        <f t="shared" si="18"/>
        <v>-90082.84</v>
      </c>
      <c r="AO17" s="47">
        <f t="shared" si="19"/>
        <v>0</v>
      </c>
      <c r="AP17" s="46">
        <f>(((((AP11)+(AP12))+(AP13))+(AP14))+(AP15))+(AP16)</f>
        <v>0</v>
      </c>
      <c r="AQ17" s="46">
        <f>(((((AQ11)+(AQ12))+(AQ13))+(AQ14))+(AQ15))+(AQ16)</f>
        <v>90082.84</v>
      </c>
      <c r="AR17" s="46">
        <f t="shared" si="20"/>
        <v>-90082.84</v>
      </c>
      <c r="AS17" s="47">
        <f t="shared" si="21"/>
        <v>0</v>
      </c>
      <c r="AT17" s="46">
        <f>(((((AT11)+(AT12))+(AT13))+(AT14))+(AT15))+(AT16)</f>
        <v>0</v>
      </c>
      <c r="AU17" s="46">
        <f>(((((AU11)+(AU12))+(AU13))+(AU14))+(AU15))+(AU16)</f>
        <v>90082.76</v>
      </c>
      <c r="AV17" s="46">
        <f t="shared" si="22"/>
        <v>-90082.76</v>
      </c>
      <c r="AW17" s="47">
        <f t="shared" si="23"/>
        <v>0</v>
      </c>
      <c r="AX17" s="46">
        <f t="shared" si="24"/>
        <v>1085001.8399999999</v>
      </c>
      <c r="AY17" s="46">
        <f t="shared" si="24"/>
        <v>1080993.9999999998</v>
      </c>
      <c r="AZ17" s="46">
        <f t="shared" si="25"/>
        <v>4007.8400000000838</v>
      </c>
      <c r="BA17" s="47">
        <f t="shared" si="26"/>
        <v>1.0037075506432045</v>
      </c>
    </row>
    <row r="18" spans="1:53" x14ac:dyDescent="0.3">
      <c r="A18" s="42" t="s">
        <v>129</v>
      </c>
      <c r="B18" s="46">
        <f>(B17)-(0)</f>
        <v>14876.27</v>
      </c>
      <c r="C18" s="46">
        <f>(C17)-(0)</f>
        <v>90082.84</v>
      </c>
      <c r="D18" s="46">
        <f t="shared" si="0"/>
        <v>-75206.569999999992</v>
      </c>
      <c r="E18" s="47">
        <f t="shared" si="1"/>
        <v>0.16513988679752992</v>
      </c>
      <c r="F18" s="46">
        <f>(F17)-(0)</f>
        <v>364426.02999999997</v>
      </c>
      <c r="G18" s="46">
        <f>(G17)-(0)</f>
        <v>90082.84</v>
      </c>
      <c r="H18" s="46">
        <f t="shared" si="2"/>
        <v>274343.18999999994</v>
      </c>
      <c r="I18" s="47">
        <f t="shared" si="3"/>
        <v>4.0454544949959388</v>
      </c>
      <c r="J18" s="46">
        <f>(J17)-(0)</f>
        <v>78605.290000000008</v>
      </c>
      <c r="K18" s="46">
        <f>(K17)-(0)</f>
        <v>90082.84</v>
      </c>
      <c r="L18" s="46">
        <f t="shared" si="4"/>
        <v>-11477.549999999988</v>
      </c>
      <c r="M18" s="47">
        <f t="shared" si="5"/>
        <v>0.87258894146765364</v>
      </c>
      <c r="N18" s="46">
        <f>(N17)-(0)</f>
        <v>213686.19999999998</v>
      </c>
      <c r="O18" s="46">
        <f>(O17)-(0)</f>
        <v>90082.84</v>
      </c>
      <c r="P18" s="46">
        <f t="shared" si="6"/>
        <v>123603.35999999999</v>
      </c>
      <c r="Q18" s="47">
        <f t="shared" si="7"/>
        <v>2.3721077177406928</v>
      </c>
      <c r="R18" s="46">
        <f>(R17)-(0)</f>
        <v>76035.820000000007</v>
      </c>
      <c r="S18" s="46">
        <f>(S17)-(0)</f>
        <v>90082.84</v>
      </c>
      <c r="T18" s="46">
        <f t="shared" si="8"/>
        <v>-14047.01999999999</v>
      </c>
      <c r="U18" s="47">
        <f t="shared" si="9"/>
        <v>0.84406552901751331</v>
      </c>
      <c r="V18" s="46">
        <f>(V17)-(0)</f>
        <v>296388.95</v>
      </c>
      <c r="W18" s="46">
        <f>(W17)-(0)</f>
        <v>90082.84</v>
      </c>
      <c r="X18" s="46">
        <f t="shared" si="10"/>
        <v>206306.11000000002</v>
      </c>
      <c r="Y18" s="47">
        <f t="shared" si="11"/>
        <v>3.2901821256967478</v>
      </c>
      <c r="Z18" s="46">
        <f>(Z17)-(0)</f>
        <v>23869.56</v>
      </c>
      <c r="AA18" s="46">
        <f>(AA17)-(0)</f>
        <v>90082.84</v>
      </c>
      <c r="AB18" s="46">
        <f t="shared" si="12"/>
        <v>-66213.279999999999</v>
      </c>
      <c r="AC18" s="47">
        <f t="shared" si="13"/>
        <v>0.26497344000255768</v>
      </c>
      <c r="AD18" s="46">
        <f>(AD17)-(0)</f>
        <v>17113.72</v>
      </c>
      <c r="AE18" s="46">
        <f>(AE17)-(0)</f>
        <v>90082.84</v>
      </c>
      <c r="AF18" s="46">
        <f t="shared" si="14"/>
        <v>-72969.119999999995</v>
      </c>
      <c r="AG18" s="47">
        <f t="shared" si="15"/>
        <v>0.18997758063577927</v>
      </c>
      <c r="AH18" s="46">
        <f>(AH17)-(0)</f>
        <v>0</v>
      </c>
      <c r="AI18" s="46">
        <f>(AI17)-(0)</f>
        <v>90082.84</v>
      </c>
      <c r="AJ18" s="46">
        <f t="shared" si="16"/>
        <v>-90082.84</v>
      </c>
      <c r="AK18" s="47">
        <f t="shared" si="17"/>
        <v>0</v>
      </c>
      <c r="AL18" s="46">
        <f>(AL17)-(0)</f>
        <v>0</v>
      </c>
      <c r="AM18" s="46">
        <f>(AM17)-(0)</f>
        <v>90082.84</v>
      </c>
      <c r="AN18" s="46">
        <f t="shared" si="18"/>
        <v>-90082.84</v>
      </c>
      <c r="AO18" s="47">
        <f t="shared" si="19"/>
        <v>0</v>
      </c>
      <c r="AP18" s="46">
        <f>(AP17)-(0)</f>
        <v>0</v>
      </c>
      <c r="AQ18" s="46">
        <f>(AQ17)-(0)</f>
        <v>90082.84</v>
      </c>
      <c r="AR18" s="46">
        <f t="shared" si="20"/>
        <v>-90082.84</v>
      </c>
      <c r="AS18" s="47">
        <f t="shared" si="21"/>
        <v>0</v>
      </c>
      <c r="AT18" s="46">
        <f>(AT17)-(0)</f>
        <v>0</v>
      </c>
      <c r="AU18" s="46">
        <f>(AU17)-(0)</f>
        <v>90082.76</v>
      </c>
      <c r="AV18" s="46">
        <f t="shared" si="22"/>
        <v>-90082.76</v>
      </c>
      <c r="AW18" s="47">
        <f t="shared" si="23"/>
        <v>0</v>
      </c>
      <c r="AX18" s="46">
        <f t="shared" si="24"/>
        <v>1085001.8399999999</v>
      </c>
      <c r="AY18" s="46">
        <f t="shared" si="24"/>
        <v>1080993.9999999998</v>
      </c>
      <c r="AZ18" s="46">
        <f t="shared" si="25"/>
        <v>4007.8400000000838</v>
      </c>
      <c r="BA18" s="47">
        <f t="shared" si="26"/>
        <v>1.0037075506432045</v>
      </c>
    </row>
    <row r="19" spans="1:53" x14ac:dyDescent="0.3">
      <c r="A19" s="42" t="s">
        <v>130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</row>
    <row r="20" spans="1:53" x14ac:dyDescent="0.3">
      <c r="A20" s="42" t="s">
        <v>131</v>
      </c>
      <c r="B20" s="43"/>
      <c r="C20" s="43"/>
      <c r="D20" s="44">
        <f t="shared" ref="D20:D83" si="27">(B20)-(C20)</f>
        <v>0</v>
      </c>
      <c r="E20" s="45" t="str">
        <f t="shared" ref="E20:E83" si="28">IF(C20=0,"",(B20)/(C20))</f>
        <v/>
      </c>
      <c r="F20" s="43"/>
      <c r="G20" s="43"/>
      <c r="H20" s="44">
        <f t="shared" ref="H20:H83" si="29">(F20)-(G20)</f>
        <v>0</v>
      </c>
      <c r="I20" s="45" t="str">
        <f t="shared" ref="I20:I83" si="30">IF(G20=0,"",(F20)/(G20))</f>
        <v/>
      </c>
      <c r="J20" s="43"/>
      <c r="K20" s="43"/>
      <c r="L20" s="44">
        <f t="shared" ref="L20:L83" si="31">(J20)-(K20)</f>
        <v>0</v>
      </c>
      <c r="M20" s="45" t="str">
        <f t="shared" ref="M20:M83" si="32">IF(K20=0,"",(J20)/(K20))</f>
        <v/>
      </c>
      <c r="N20" s="43"/>
      <c r="O20" s="43"/>
      <c r="P20" s="44">
        <f t="shared" ref="P20:P83" si="33">(N20)-(O20)</f>
        <v>0</v>
      </c>
      <c r="Q20" s="45" t="str">
        <f t="shared" ref="Q20:Q83" si="34">IF(O20=0,"",(N20)/(O20))</f>
        <v/>
      </c>
      <c r="R20" s="43"/>
      <c r="S20" s="43"/>
      <c r="T20" s="44">
        <f t="shared" ref="T20:T83" si="35">(R20)-(S20)</f>
        <v>0</v>
      </c>
      <c r="U20" s="45" t="str">
        <f t="shared" ref="U20:U83" si="36">IF(S20=0,"",(R20)/(S20))</f>
        <v/>
      </c>
      <c r="V20" s="43"/>
      <c r="W20" s="43"/>
      <c r="X20" s="44">
        <f t="shared" ref="X20:X83" si="37">(V20)-(W20)</f>
        <v>0</v>
      </c>
      <c r="Y20" s="45" t="str">
        <f t="shared" ref="Y20:Y83" si="38">IF(W20=0,"",(V20)/(W20))</f>
        <v/>
      </c>
      <c r="Z20" s="43"/>
      <c r="AA20" s="43"/>
      <c r="AB20" s="44">
        <f t="shared" ref="AB20:AB83" si="39">(Z20)-(AA20)</f>
        <v>0</v>
      </c>
      <c r="AC20" s="45" t="str">
        <f t="shared" ref="AC20:AC83" si="40">IF(AA20=0,"",(Z20)/(AA20))</f>
        <v/>
      </c>
      <c r="AD20" s="43"/>
      <c r="AE20" s="43"/>
      <c r="AF20" s="44">
        <f t="shared" ref="AF20:AF83" si="41">(AD20)-(AE20)</f>
        <v>0</v>
      </c>
      <c r="AG20" s="45" t="str">
        <f t="shared" ref="AG20:AG83" si="42">IF(AE20=0,"",(AD20)/(AE20))</f>
        <v/>
      </c>
      <c r="AH20" s="43"/>
      <c r="AI20" s="43"/>
      <c r="AJ20" s="44">
        <f t="shared" ref="AJ20:AJ83" si="43">(AH20)-(AI20)</f>
        <v>0</v>
      </c>
      <c r="AK20" s="45" t="str">
        <f t="shared" ref="AK20:AK83" si="44">IF(AI20=0,"",(AH20)/(AI20))</f>
        <v/>
      </c>
      <c r="AL20" s="43"/>
      <c r="AM20" s="43"/>
      <c r="AN20" s="44">
        <f t="shared" ref="AN20:AN83" si="45">(AL20)-(AM20)</f>
        <v>0</v>
      </c>
      <c r="AO20" s="45" t="str">
        <f t="shared" ref="AO20:AO83" si="46">IF(AM20=0,"",(AL20)/(AM20))</f>
        <v/>
      </c>
      <c r="AP20" s="43"/>
      <c r="AQ20" s="43"/>
      <c r="AR20" s="44">
        <f t="shared" ref="AR20:AR83" si="47">(AP20)-(AQ20)</f>
        <v>0</v>
      </c>
      <c r="AS20" s="45" t="str">
        <f t="shared" ref="AS20:AS83" si="48">IF(AQ20=0,"",(AP20)/(AQ20))</f>
        <v/>
      </c>
      <c r="AT20" s="43"/>
      <c r="AU20" s="43"/>
      <c r="AV20" s="44">
        <f t="shared" ref="AV20:AV83" si="49">(AT20)-(AU20)</f>
        <v>0</v>
      </c>
      <c r="AW20" s="45" t="str">
        <f t="shared" ref="AW20:AW83" si="50">IF(AU20=0,"",(AT20)/(AU20))</f>
        <v/>
      </c>
      <c r="AX20" s="44">
        <f t="shared" ref="AX20:AY51" si="51">(((((((((((B20)+(F20))+(J20))+(N20))+(R20))+(V20))+(Z20))+(AD20))+(AH20))+(AL20))+(AP20))+(AT20)</f>
        <v>0</v>
      </c>
      <c r="AY20" s="44">
        <f t="shared" si="51"/>
        <v>0</v>
      </c>
      <c r="AZ20" s="44">
        <f t="shared" ref="AZ20:AZ83" si="52">(AX20)-(AY20)</f>
        <v>0</v>
      </c>
      <c r="BA20" s="45" t="str">
        <f t="shared" ref="BA20:BA83" si="53">IF(AY20=0,"",(AX20)/(AY20))</f>
        <v/>
      </c>
    </row>
    <row r="21" spans="1:53" x14ac:dyDescent="0.3">
      <c r="A21" s="42" t="s">
        <v>132</v>
      </c>
      <c r="B21" s="44">
        <f>154.5</f>
        <v>154.5</v>
      </c>
      <c r="C21" s="43"/>
      <c r="D21" s="44">
        <f t="shared" si="27"/>
        <v>154.5</v>
      </c>
      <c r="E21" s="45" t="str">
        <f t="shared" si="28"/>
        <v/>
      </c>
      <c r="F21" s="44">
        <f>0</f>
        <v>0</v>
      </c>
      <c r="G21" s="43"/>
      <c r="H21" s="44">
        <f t="shared" si="29"/>
        <v>0</v>
      </c>
      <c r="I21" s="45" t="str">
        <f t="shared" si="30"/>
        <v/>
      </c>
      <c r="J21" s="44">
        <f>0</f>
        <v>0</v>
      </c>
      <c r="K21" s="43"/>
      <c r="L21" s="44">
        <f t="shared" si="31"/>
        <v>0</v>
      </c>
      <c r="M21" s="45" t="str">
        <f t="shared" si="32"/>
        <v/>
      </c>
      <c r="N21" s="44">
        <f>0</f>
        <v>0</v>
      </c>
      <c r="O21" s="43"/>
      <c r="P21" s="44">
        <f t="shared" si="33"/>
        <v>0</v>
      </c>
      <c r="Q21" s="45" t="str">
        <f t="shared" si="34"/>
        <v/>
      </c>
      <c r="R21" s="44">
        <f>0</f>
        <v>0</v>
      </c>
      <c r="S21" s="43"/>
      <c r="T21" s="44">
        <f t="shared" si="35"/>
        <v>0</v>
      </c>
      <c r="U21" s="45" t="str">
        <f t="shared" si="36"/>
        <v/>
      </c>
      <c r="V21" s="44">
        <f>0</f>
        <v>0</v>
      </c>
      <c r="W21" s="43"/>
      <c r="X21" s="44">
        <f t="shared" si="37"/>
        <v>0</v>
      </c>
      <c r="Y21" s="45" t="str">
        <f t="shared" si="38"/>
        <v/>
      </c>
      <c r="Z21" s="44">
        <f>0</f>
        <v>0</v>
      </c>
      <c r="AA21" s="43"/>
      <c r="AB21" s="44">
        <f t="shared" si="39"/>
        <v>0</v>
      </c>
      <c r="AC21" s="45" t="str">
        <f t="shared" si="40"/>
        <v/>
      </c>
      <c r="AD21" s="44">
        <f>0</f>
        <v>0</v>
      </c>
      <c r="AE21" s="43"/>
      <c r="AF21" s="44">
        <f t="shared" si="41"/>
        <v>0</v>
      </c>
      <c r="AG21" s="45" t="str">
        <f t="shared" si="42"/>
        <v/>
      </c>
      <c r="AH21" s="44">
        <f>-154.5</f>
        <v>-154.5</v>
      </c>
      <c r="AI21" s="43"/>
      <c r="AJ21" s="44">
        <f t="shared" si="43"/>
        <v>-154.5</v>
      </c>
      <c r="AK21" s="45" t="str">
        <f t="shared" si="44"/>
        <v/>
      </c>
      <c r="AL21" s="43"/>
      <c r="AM21" s="43"/>
      <c r="AN21" s="44">
        <f t="shared" si="45"/>
        <v>0</v>
      </c>
      <c r="AO21" s="45" t="str">
        <f t="shared" si="46"/>
        <v/>
      </c>
      <c r="AP21" s="43"/>
      <c r="AQ21" s="43"/>
      <c r="AR21" s="44">
        <f t="shared" si="47"/>
        <v>0</v>
      </c>
      <c r="AS21" s="45" t="str">
        <f t="shared" si="48"/>
        <v/>
      </c>
      <c r="AT21" s="43"/>
      <c r="AU21" s="43"/>
      <c r="AV21" s="44">
        <f t="shared" si="49"/>
        <v>0</v>
      </c>
      <c r="AW21" s="45" t="str">
        <f t="shared" si="50"/>
        <v/>
      </c>
      <c r="AX21" s="44">
        <f t="shared" si="51"/>
        <v>0</v>
      </c>
      <c r="AY21" s="44">
        <f t="shared" si="51"/>
        <v>0</v>
      </c>
      <c r="AZ21" s="44">
        <f t="shared" si="52"/>
        <v>0</v>
      </c>
      <c r="BA21" s="45" t="str">
        <f t="shared" si="53"/>
        <v/>
      </c>
    </row>
    <row r="22" spans="1:53" x14ac:dyDescent="0.3">
      <c r="A22" s="42" t="s">
        <v>133</v>
      </c>
      <c r="B22" s="44">
        <f>4013.9</f>
        <v>4013.9</v>
      </c>
      <c r="C22" s="44">
        <f>4208.33</f>
        <v>4208.33</v>
      </c>
      <c r="D22" s="44">
        <f t="shared" si="27"/>
        <v>-194.42999999999984</v>
      </c>
      <c r="E22" s="45">
        <f t="shared" si="28"/>
        <v>0.95379877528615864</v>
      </c>
      <c r="F22" s="44">
        <f>4013.9</f>
        <v>4013.9</v>
      </c>
      <c r="G22" s="44">
        <f>4208.33</f>
        <v>4208.33</v>
      </c>
      <c r="H22" s="44">
        <f t="shared" si="29"/>
        <v>-194.42999999999984</v>
      </c>
      <c r="I22" s="45">
        <f t="shared" si="30"/>
        <v>0.95379877528615864</v>
      </c>
      <c r="J22" s="44">
        <f>4013.9</f>
        <v>4013.9</v>
      </c>
      <c r="K22" s="44">
        <f>4208.33</f>
        <v>4208.33</v>
      </c>
      <c r="L22" s="44">
        <f t="shared" si="31"/>
        <v>-194.42999999999984</v>
      </c>
      <c r="M22" s="45">
        <f t="shared" si="32"/>
        <v>0.95379877528615864</v>
      </c>
      <c r="N22" s="44">
        <f>4013.9</f>
        <v>4013.9</v>
      </c>
      <c r="O22" s="44">
        <f>4208.33</f>
        <v>4208.33</v>
      </c>
      <c r="P22" s="44">
        <f t="shared" si="33"/>
        <v>-194.42999999999984</v>
      </c>
      <c r="Q22" s="45">
        <f t="shared" si="34"/>
        <v>0.95379877528615864</v>
      </c>
      <c r="R22" s="44">
        <f>4013.9</f>
        <v>4013.9</v>
      </c>
      <c r="S22" s="44">
        <f>4208.33</f>
        <v>4208.33</v>
      </c>
      <c r="T22" s="44">
        <f t="shared" si="35"/>
        <v>-194.42999999999984</v>
      </c>
      <c r="U22" s="45">
        <f t="shared" si="36"/>
        <v>0.95379877528615864</v>
      </c>
      <c r="V22" s="44">
        <f>4013.9</f>
        <v>4013.9</v>
      </c>
      <c r="W22" s="44">
        <f>4208.33</f>
        <v>4208.33</v>
      </c>
      <c r="X22" s="44">
        <f t="shared" si="37"/>
        <v>-194.42999999999984</v>
      </c>
      <c r="Y22" s="45">
        <f t="shared" si="38"/>
        <v>0.95379877528615864</v>
      </c>
      <c r="Z22" s="44">
        <f>4010.55</f>
        <v>4010.55</v>
      </c>
      <c r="AA22" s="44">
        <f>4208.33</f>
        <v>4208.33</v>
      </c>
      <c r="AB22" s="44">
        <f t="shared" si="39"/>
        <v>-197.77999999999975</v>
      </c>
      <c r="AC22" s="45">
        <f t="shared" si="40"/>
        <v>0.95300273505167143</v>
      </c>
      <c r="AD22" s="44">
        <f>4013.9</f>
        <v>4013.9</v>
      </c>
      <c r="AE22" s="44">
        <f>4208.33</f>
        <v>4208.33</v>
      </c>
      <c r="AF22" s="44">
        <f t="shared" si="41"/>
        <v>-194.42999999999984</v>
      </c>
      <c r="AG22" s="45">
        <f t="shared" si="42"/>
        <v>0.95379877528615864</v>
      </c>
      <c r="AH22" s="44">
        <f>-3.35</f>
        <v>-3.35</v>
      </c>
      <c r="AI22" s="44">
        <f>4208.33</f>
        <v>4208.33</v>
      </c>
      <c r="AJ22" s="44">
        <f t="shared" si="43"/>
        <v>-4211.68</v>
      </c>
      <c r="AK22" s="45">
        <f t="shared" si="44"/>
        <v>-7.9604023448731447E-4</v>
      </c>
      <c r="AL22" s="43"/>
      <c r="AM22" s="44">
        <f>4208.33</f>
        <v>4208.33</v>
      </c>
      <c r="AN22" s="44">
        <f t="shared" si="45"/>
        <v>-4208.33</v>
      </c>
      <c r="AO22" s="45">
        <f t="shared" si="46"/>
        <v>0</v>
      </c>
      <c r="AP22" s="43"/>
      <c r="AQ22" s="44">
        <f>4208.33</f>
        <v>4208.33</v>
      </c>
      <c r="AR22" s="44">
        <f t="shared" si="47"/>
        <v>-4208.33</v>
      </c>
      <c r="AS22" s="45">
        <f t="shared" si="48"/>
        <v>0</v>
      </c>
      <c r="AT22" s="43"/>
      <c r="AU22" s="44">
        <f>4208.37</f>
        <v>4208.37</v>
      </c>
      <c r="AV22" s="44">
        <f t="shared" si="49"/>
        <v>-4208.37</v>
      </c>
      <c r="AW22" s="45">
        <f t="shared" si="50"/>
        <v>0</v>
      </c>
      <c r="AX22" s="44">
        <f t="shared" si="51"/>
        <v>32104.500000000004</v>
      </c>
      <c r="AY22" s="44">
        <f t="shared" si="51"/>
        <v>50500.000000000015</v>
      </c>
      <c r="AZ22" s="44">
        <f t="shared" si="52"/>
        <v>-18395.500000000011</v>
      </c>
      <c r="BA22" s="45">
        <f t="shared" si="53"/>
        <v>0.63573267326732663</v>
      </c>
    </row>
    <row r="23" spans="1:53" x14ac:dyDescent="0.3">
      <c r="A23" s="42" t="s">
        <v>134</v>
      </c>
      <c r="B23" s="43"/>
      <c r="C23" s="44">
        <f>1166.67</f>
        <v>1166.67</v>
      </c>
      <c r="D23" s="44">
        <f t="shared" si="27"/>
        <v>-1166.67</v>
      </c>
      <c r="E23" s="45">
        <f t="shared" si="28"/>
        <v>0</v>
      </c>
      <c r="F23" s="43"/>
      <c r="G23" s="44">
        <f>1166.67</f>
        <v>1166.67</v>
      </c>
      <c r="H23" s="44">
        <f t="shared" si="29"/>
        <v>-1166.67</v>
      </c>
      <c r="I23" s="45">
        <f t="shared" si="30"/>
        <v>0</v>
      </c>
      <c r="J23" s="43"/>
      <c r="K23" s="44">
        <f>1166.67</f>
        <v>1166.67</v>
      </c>
      <c r="L23" s="44">
        <f t="shared" si="31"/>
        <v>-1166.67</v>
      </c>
      <c r="M23" s="45">
        <f t="shared" si="32"/>
        <v>0</v>
      </c>
      <c r="N23" s="43"/>
      <c r="O23" s="44">
        <f>1166.67</f>
        <v>1166.67</v>
      </c>
      <c r="P23" s="44">
        <f t="shared" si="33"/>
        <v>-1166.67</v>
      </c>
      <c r="Q23" s="45">
        <f t="shared" si="34"/>
        <v>0</v>
      </c>
      <c r="R23" s="43"/>
      <c r="S23" s="44">
        <f>1166.67</f>
        <v>1166.67</v>
      </c>
      <c r="T23" s="44">
        <f t="shared" si="35"/>
        <v>-1166.67</v>
      </c>
      <c r="U23" s="45">
        <f t="shared" si="36"/>
        <v>0</v>
      </c>
      <c r="V23" s="43"/>
      <c r="W23" s="44">
        <f>1166.67</f>
        <v>1166.67</v>
      </c>
      <c r="X23" s="44">
        <f t="shared" si="37"/>
        <v>-1166.67</v>
      </c>
      <c r="Y23" s="45">
        <f t="shared" si="38"/>
        <v>0</v>
      </c>
      <c r="Z23" s="43"/>
      <c r="AA23" s="44">
        <f>1166.67</f>
        <v>1166.67</v>
      </c>
      <c r="AB23" s="44">
        <f t="shared" si="39"/>
        <v>-1166.67</v>
      </c>
      <c r="AC23" s="45">
        <f t="shared" si="40"/>
        <v>0</v>
      </c>
      <c r="AD23" s="43"/>
      <c r="AE23" s="44">
        <f>1166.67</f>
        <v>1166.67</v>
      </c>
      <c r="AF23" s="44">
        <f t="shared" si="41"/>
        <v>-1166.67</v>
      </c>
      <c r="AG23" s="45">
        <f t="shared" si="42"/>
        <v>0</v>
      </c>
      <c r="AH23" s="43"/>
      <c r="AI23" s="44">
        <f>1166.67</f>
        <v>1166.67</v>
      </c>
      <c r="AJ23" s="44">
        <f t="shared" si="43"/>
        <v>-1166.67</v>
      </c>
      <c r="AK23" s="45">
        <f t="shared" si="44"/>
        <v>0</v>
      </c>
      <c r="AL23" s="43"/>
      <c r="AM23" s="44">
        <f>1166.67</f>
        <v>1166.67</v>
      </c>
      <c r="AN23" s="44">
        <f t="shared" si="45"/>
        <v>-1166.67</v>
      </c>
      <c r="AO23" s="45">
        <f t="shared" si="46"/>
        <v>0</v>
      </c>
      <c r="AP23" s="43"/>
      <c r="AQ23" s="44">
        <f>1166.67</f>
        <v>1166.67</v>
      </c>
      <c r="AR23" s="44">
        <f t="shared" si="47"/>
        <v>-1166.67</v>
      </c>
      <c r="AS23" s="45">
        <f t="shared" si="48"/>
        <v>0</v>
      </c>
      <c r="AT23" s="43"/>
      <c r="AU23" s="44">
        <f>1166.63</f>
        <v>1166.6300000000001</v>
      </c>
      <c r="AV23" s="44">
        <f t="shared" si="49"/>
        <v>-1166.6300000000001</v>
      </c>
      <c r="AW23" s="45">
        <f t="shared" si="50"/>
        <v>0</v>
      </c>
      <c r="AX23" s="44">
        <f t="shared" si="51"/>
        <v>0</v>
      </c>
      <c r="AY23" s="44">
        <f t="shared" si="51"/>
        <v>14000</v>
      </c>
      <c r="AZ23" s="44">
        <f t="shared" si="52"/>
        <v>-14000</v>
      </c>
      <c r="BA23" s="45">
        <f t="shared" si="53"/>
        <v>0</v>
      </c>
    </row>
    <row r="24" spans="1:53" x14ac:dyDescent="0.3">
      <c r="A24" s="42" t="s">
        <v>135</v>
      </c>
      <c r="B24" s="43"/>
      <c r="C24" s="44">
        <f>166.67</f>
        <v>166.67</v>
      </c>
      <c r="D24" s="44">
        <f t="shared" si="27"/>
        <v>-166.67</v>
      </c>
      <c r="E24" s="45">
        <f t="shared" si="28"/>
        <v>0</v>
      </c>
      <c r="F24" s="43"/>
      <c r="G24" s="44">
        <f>166.67</f>
        <v>166.67</v>
      </c>
      <c r="H24" s="44">
        <f t="shared" si="29"/>
        <v>-166.67</v>
      </c>
      <c r="I24" s="45">
        <f t="shared" si="30"/>
        <v>0</v>
      </c>
      <c r="J24" s="43"/>
      <c r="K24" s="44">
        <f>166.67</f>
        <v>166.67</v>
      </c>
      <c r="L24" s="44">
        <f t="shared" si="31"/>
        <v>-166.67</v>
      </c>
      <c r="M24" s="45">
        <f t="shared" si="32"/>
        <v>0</v>
      </c>
      <c r="N24" s="43"/>
      <c r="O24" s="44">
        <f>166.67</f>
        <v>166.67</v>
      </c>
      <c r="P24" s="44">
        <f t="shared" si="33"/>
        <v>-166.67</v>
      </c>
      <c r="Q24" s="45">
        <f t="shared" si="34"/>
        <v>0</v>
      </c>
      <c r="R24" s="43"/>
      <c r="S24" s="44">
        <f>166.67</f>
        <v>166.67</v>
      </c>
      <c r="T24" s="44">
        <f t="shared" si="35"/>
        <v>-166.67</v>
      </c>
      <c r="U24" s="45">
        <f t="shared" si="36"/>
        <v>0</v>
      </c>
      <c r="V24" s="43"/>
      <c r="W24" s="44">
        <f>166.67</f>
        <v>166.67</v>
      </c>
      <c r="X24" s="44">
        <f t="shared" si="37"/>
        <v>-166.67</v>
      </c>
      <c r="Y24" s="45">
        <f t="shared" si="38"/>
        <v>0</v>
      </c>
      <c r="Z24" s="43"/>
      <c r="AA24" s="44">
        <f>166.67</f>
        <v>166.67</v>
      </c>
      <c r="AB24" s="44">
        <f t="shared" si="39"/>
        <v>-166.67</v>
      </c>
      <c r="AC24" s="45">
        <f t="shared" si="40"/>
        <v>0</v>
      </c>
      <c r="AD24" s="43"/>
      <c r="AE24" s="44">
        <f>166.67</f>
        <v>166.67</v>
      </c>
      <c r="AF24" s="44">
        <f t="shared" si="41"/>
        <v>-166.67</v>
      </c>
      <c r="AG24" s="45">
        <f t="shared" si="42"/>
        <v>0</v>
      </c>
      <c r="AH24" s="43"/>
      <c r="AI24" s="44">
        <f>166.67</f>
        <v>166.67</v>
      </c>
      <c r="AJ24" s="44">
        <f t="shared" si="43"/>
        <v>-166.67</v>
      </c>
      <c r="AK24" s="45">
        <f t="shared" si="44"/>
        <v>0</v>
      </c>
      <c r="AL24" s="43"/>
      <c r="AM24" s="44">
        <f>166.67</f>
        <v>166.67</v>
      </c>
      <c r="AN24" s="44">
        <f t="shared" si="45"/>
        <v>-166.67</v>
      </c>
      <c r="AO24" s="45">
        <f t="shared" si="46"/>
        <v>0</v>
      </c>
      <c r="AP24" s="43"/>
      <c r="AQ24" s="44">
        <f>166.67</f>
        <v>166.67</v>
      </c>
      <c r="AR24" s="44">
        <f t="shared" si="47"/>
        <v>-166.67</v>
      </c>
      <c r="AS24" s="45">
        <f t="shared" si="48"/>
        <v>0</v>
      </c>
      <c r="AT24" s="43"/>
      <c r="AU24" s="44">
        <f>166.63</f>
        <v>166.63</v>
      </c>
      <c r="AV24" s="44">
        <f t="shared" si="49"/>
        <v>-166.63</v>
      </c>
      <c r="AW24" s="45">
        <f t="shared" si="50"/>
        <v>0</v>
      </c>
      <c r="AX24" s="44">
        <f t="shared" si="51"/>
        <v>0</v>
      </c>
      <c r="AY24" s="44">
        <f t="shared" si="51"/>
        <v>2000</v>
      </c>
      <c r="AZ24" s="44">
        <f t="shared" si="52"/>
        <v>-2000</v>
      </c>
      <c r="BA24" s="45">
        <f t="shared" si="53"/>
        <v>0</v>
      </c>
    </row>
    <row r="25" spans="1:53" x14ac:dyDescent="0.3">
      <c r="A25" s="42" t="s">
        <v>136</v>
      </c>
      <c r="B25" s="46">
        <f>((((B20)+(B21))+(B22))+(B23))+(B24)</f>
        <v>4168.3999999999996</v>
      </c>
      <c r="C25" s="46">
        <f>((((C20)+(C21))+(C22))+(C23))+(C24)</f>
        <v>5541.67</v>
      </c>
      <c r="D25" s="46">
        <f t="shared" si="27"/>
        <v>-1373.2700000000004</v>
      </c>
      <c r="E25" s="47">
        <f t="shared" si="28"/>
        <v>0.75219202875667435</v>
      </c>
      <c r="F25" s="46">
        <f>((((F20)+(F21))+(F22))+(F23))+(F24)</f>
        <v>4013.9</v>
      </c>
      <c r="G25" s="46">
        <f>((((G20)+(G21))+(G22))+(G23))+(G24)</f>
        <v>5541.67</v>
      </c>
      <c r="H25" s="46">
        <f t="shared" si="29"/>
        <v>-1527.77</v>
      </c>
      <c r="I25" s="47">
        <f t="shared" si="30"/>
        <v>0.724312346278288</v>
      </c>
      <c r="J25" s="46">
        <f>((((J20)+(J21))+(J22))+(J23))+(J24)</f>
        <v>4013.9</v>
      </c>
      <c r="K25" s="46">
        <f>((((K20)+(K21))+(K22))+(K23))+(K24)</f>
        <v>5541.67</v>
      </c>
      <c r="L25" s="46">
        <f t="shared" si="31"/>
        <v>-1527.77</v>
      </c>
      <c r="M25" s="47">
        <f t="shared" si="32"/>
        <v>0.724312346278288</v>
      </c>
      <c r="N25" s="46">
        <f>((((N20)+(N21))+(N22))+(N23))+(N24)</f>
        <v>4013.9</v>
      </c>
      <c r="O25" s="46">
        <f>((((O20)+(O21))+(O22))+(O23))+(O24)</f>
        <v>5541.67</v>
      </c>
      <c r="P25" s="46">
        <f t="shared" si="33"/>
        <v>-1527.77</v>
      </c>
      <c r="Q25" s="47">
        <f t="shared" si="34"/>
        <v>0.724312346278288</v>
      </c>
      <c r="R25" s="46">
        <f>((((R20)+(R21))+(R22))+(R23))+(R24)</f>
        <v>4013.9</v>
      </c>
      <c r="S25" s="46">
        <f>((((S20)+(S21))+(S22))+(S23))+(S24)</f>
        <v>5541.67</v>
      </c>
      <c r="T25" s="46">
        <f t="shared" si="35"/>
        <v>-1527.77</v>
      </c>
      <c r="U25" s="47">
        <f t="shared" si="36"/>
        <v>0.724312346278288</v>
      </c>
      <c r="V25" s="46">
        <f>((((V20)+(V21))+(V22))+(V23))+(V24)</f>
        <v>4013.9</v>
      </c>
      <c r="W25" s="46">
        <f>((((W20)+(W21))+(W22))+(W23))+(W24)</f>
        <v>5541.67</v>
      </c>
      <c r="X25" s="46">
        <f t="shared" si="37"/>
        <v>-1527.77</v>
      </c>
      <c r="Y25" s="47">
        <f t="shared" si="38"/>
        <v>0.724312346278288</v>
      </c>
      <c r="Z25" s="46">
        <f>((((Z20)+(Z21))+(Z22))+(Z23))+(Z24)</f>
        <v>4010.55</v>
      </c>
      <c r="AA25" s="46">
        <f>((((AA20)+(AA21))+(AA22))+(AA23))+(AA24)</f>
        <v>5541.67</v>
      </c>
      <c r="AB25" s="46">
        <f t="shared" si="39"/>
        <v>-1531.12</v>
      </c>
      <c r="AC25" s="47">
        <f t="shared" si="40"/>
        <v>0.72370783536370809</v>
      </c>
      <c r="AD25" s="46">
        <f>((((AD20)+(AD21))+(AD22))+(AD23))+(AD24)</f>
        <v>4013.9</v>
      </c>
      <c r="AE25" s="46">
        <f>((((AE20)+(AE21))+(AE22))+(AE23))+(AE24)</f>
        <v>5541.67</v>
      </c>
      <c r="AF25" s="46">
        <f t="shared" si="41"/>
        <v>-1527.77</v>
      </c>
      <c r="AG25" s="47">
        <f t="shared" si="42"/>
        <v>0.724312346278288</v>
      </c>
      <c r="AH25" s="46">
        <f>((((AH20)+(AH21))+(AH22))+(AH23))+(AH24)</f>
        <v>-157.85</v>
      </c>
      <c r="AI25" s="46">
        <f>((((AI20)+(AI21))+(AI22))+(AI23))+(AI24)</f>
        <v>5541.67</v>
      </c>
      <c r="AJ25" s="46">
        <f t="shared" si="43"/>
        <v>-5699.52</v>
      </c>
      <c r="AK25" s="47">
        <f t="shared" si="44"/>
        <v>-2.848419339296638E-2</v>
      </c>
      <c r="AL25" s="46">
        <f>((((AL20)+(AL21))+(AL22))+(AL23))+(AL24)</f>
        <v>0</v>
      </c>
      <c r="AM25" s="46">
        <f>((((AM20)+(AM21))+(AM22))+(AM23))+(AM24)</f>
        <v>5541.67</v>
      </c>
      <c r="AN25" s="46">
        <f t="shared" si="45"/>
        <v>-5541.67</v>
      </c>
      <c r="AO25" s="47">
        <f t="shared" si="46"/>
        <v>0</v>
      </c>
      <c r="AP25" s="46">
        <f>((((AP20)+(AP21))+(AP22))+(AP23))+(AP24)</f>
        <v>0</v>
      </c>
      <c r="AQ25" s="46">
        <f>((((AQ20)+(AQ21))+(AQ22))+(AQ23))+(AQ24)</f>
        <v>5541.67</v>
      </c>
      <c r="AR25" s="46">
        <f t="shared" si="47"/>
        <v>-5541.67</v>
      </c>
      <c r="AS25" s="47">
        <f t="shared" si="48"/>
        <v>0</v>
      </c>
      <c r="AT25" s="46">
        <f>((((AT20)+(AT21))+(AT22))+(AT23))+(AT24)</f>
        <v>0</v>
      </c>
      <c r="AU25" s="46">
        <f>((((AU20)+(AU21))+(AU22))+(AU23))+(AU24)</f>
        <v>5541.63</v>
      </c>
      <c r="AV25" s="46">
        <f t="shared" si="49"/>
        <v>-5541.63</v>
      </c>
      <c r="AW25" s="47">
        <f t="shared" si="50"/>
        <v>0</v>
      </c>
      <c r="AX25" s="46">
        <f t="shared" si="51"/>
        <v>32104.500000000004</v>
      </c>
      <c r="AY25" s="46">
        <f t="shared" si="51"/>
        <v>66499.999999999985</v>
      </c>
      <c r="AZ25" s="46">
        <f t="shared" si="52"/>
        <v>-34395.499999999985</v>
      </c>
      <c r="BA25" s="47">
        <f t="shared" si="53"/>
        <v>0.48277443609022574</v>
      </c>
    </row>
    <row r="26" spans="1:53" x14ac:dyDescent="0.3">
      <c r="A26" s="42" t="s">
        <v>137</v>
      </c>
      <c r="B26" s="43"/>
      <c r="C26" s="43"/>
      <c r="D26" s="44">
        <f t="shared" si="27"/>
        <v>0</v>
      </c>
      <c r="E26" s="45" t="str">
        <f t="shared" si="28"/>
        <v/>
      </c>
      <c r="F26" s="43"/>
      <c r="G26" s="43"/>
      <c r="H26" s="44">
        <f t="shared" si="29"/>
        <v>0</v>
      </c>
      <c r="I26" s="45" t="str">
        <f t="shared" si="30"/>
        <v/>
      </c>
      <c r="J26" s="43"/>
      <c r="K26" s="43"/>
      <c r="L26" s="44">
        <f t="shared" si="31"/>
        <v>0</v>
      </c>
      <c r="M26" s="45" t="str">
        <f t="shared" si="32"/>
        <v/>
      </c>
      <c r="N26" s="43"/>
      <c r="O26" s="43"/>
      <c r="P26" s="44">
        <f t="shared" si="33"/>
        <v>0</v>
      </c>
      <c r="Q26" s="45" t="str">
        <f t="shared" si="34"/>
        <v/>
      </c>
      <c r="R26" s="43"/>
      <c r="S26" s="43"/>
      <c r="T26" s="44">
        <f t="shared" si="35"/>
        <v>0</v>
      </c>
      <c r="U26" s="45" t="str">
        <f t="shared" si="36"/>
        <v/>
      </c>
      <c r="V26" s="43"/>
      <c r="W26" s="43"/>
      <c r="X26" s="44">
        <f t="shared" si="37"/>
        <v>0</v>
      </c>
      <c r="Y26" s="45" t="str">
        <f t="shared" si="38"/>
        <v/>
      </c>
      <c r="Z26" s="43"/>
      <c r="AA26" s="43"/>
      <c r="AB26" s="44">
        <f t="shared" si="39"/>
        <v>0</v>
      </c>
      <c r="AC26" s="45" t="str">
        <f t="shared" si="40"/>
        <v/>
      </c>
      <c r="AD26" s="43"/>
      <c r="AE26" s="43"/>
      <c r="AF26" s="44">
        <f t="shared" si="41"/>
        <v>0</v>
      </c>
      <c r="AG26" s="45" t="str">
        <f t="shared" si="42"/>
        <v/>
      </c>
      <c r="AH26" s="43"/>
      <c r="AI26" s="43"/>
      <c r="AJ26" s="44">
        <f t="shared" si="43"/>
        <v>0</v>
      </c>
      <c r="AK26" s="45" t="str">
        <f t="shared" si="44"/>
        <v/>
      </c>
      <c r="AL26" s="43"/>
      <c r="AM26" s="43"/>
      <c r="AN26" s="44">
        <f t="shared" si="45"/>
        <v>0</v>
      </c>
      <c r="AO26" s="45" t="str">
        <f t="shared" si="46"/>
        <v/>
      </c>
      <c r="AP26" s="43"/>
      <c r="AQ26" s="43"/>
      <c r="AR26" s="44">
        <f t="shared" si="47"/>
        <v>0</v>
      </c>
      <c r="AS26" s="45" t="str">
        <f t="shared" si="48"/>
        <v/>
      </c>
      <c r="AT26" s="43"/>
      <c r="AU26" s="43"/>
      <c r="AV26" s="44">
        <f t="shared" si="49"/>
        <v>0</v>
      </c>
      <c r="AW26" s="45" t="str">
        <f t="shared" si="50"/>
        <v/>
      </c>
      <c r="AX26" s="44">
        <f t="shared" si="51"/>
        <v>0</v>
      </c>
      <c r="AY26" s="44">
        <f t="shared" si="51"/>
        <v>0</v>
      </c>
      <c r="AZ26" s="44">
        <f t="shared" si="52"/>
        <v>0</v>
      </c>
      <c r="BA26" s="45" t="str">
        <f t="shared" si="53"/>
        <v/>
      </c>
    </row>
    <row r="27" spans="1:53" x14ac:dyDescent="0.3">
      <c r="A27" s="42" t="s">
        <v>138</v>
      </c>
      <c r="B27" s="44">
        <f>2636.21</f>
        <v>2636.21</v>
      </c>
      <c r="C27" s="44">
        <f>4166.67</f>
        <v>4166.67</v>
      </c>
      <c r="D27" s="44">
        <f t="shared" si="27"/>
        <v>-1530.46</v>
      </c>
      <c r="E27" s="45">
        <f t="shared" si="28"/>
        <v>0.63268989384808494</v>
      </c>
      <c r="F27" s="44">
        <f>2615.41</f>
        <v>2615.41</v>
      </c>
      <c r="G27" s="44">
        <f>4166.67</f>
        <v>4166.67</v>
      </c>
      <c r="H27" s="44">
        <f t="shared" si="29"/>
        <v>-1551.2600000000002</v>
      </c>
      <c r="I27" s="45">
        <f t="shared" si="30"/>
        <v>0.62769789784168173</v>
      </c>
      <c r="J27" s="44">
        <f>2542.77</f>
        <v>2542.77</v>
      </c>
      <c r="K27" s="44">
        <f>4166.67</f>
        <v>4166.67</v>
      </c>
      <c r="L27" s="44">
        <f t="shared" si="31"/>
        <v>-1623.9</v>
      </c>
      <c r="M27" s="45">
        <f t="shared" si="32"/>
        <v>0.61026431178855056</v>
      </c>
      <c r="N27" s="44">
        <f>2550.63</f>
        <v>2550.63</v>
      </c>
      <c r="O27" s="44">
        <f>4166.67</f>
        <v>4166.67</v>
      </c>
      <c r="P27" s="44">
        <f t="shared" si="33"/>
        <v>-1616.04</v>
      </c>
      <c r="Q27" s="45">
        <f t="shared" si="34"/>
        <v>0.6121507102794318</v>
      </c>
      <c r="R27" s="44">
        <f>2507.95</f>
        <v>2507.9499999999998</v>
      </c>
      <c r="S27" s="44">
        <f>4166.67</f>
        <v>4166.67</v>
      </c>
      <c r="T27" s="44">
        <f t="shared" si="35"/>
        <v>-1658.7200000000003</v>
      </c>
      <c r="U27" s="45">
        <f t="shared" si="36"/>
        <v>0.60190751847398516</v>
      </c>
      <c r="V27" s="44">
        <f>2493.48</f>
        <v>2493.48</v>
      </c>
      <c r="W27" s="44">
        <f>4166.67</f>
        <v>4166.67</v>
      </c>
      <c r="X27" s="44">
        <f t="shared" si="37"/>
        <v>-1673.19</v>
      </c>
      <c r="Y27" s="45">
        <f t="shared" si="38"/>
        <v>0.59843472125222297</v>
      </c>
      <c r="Z27" s="44">
        <f>3740.58</f>
        <v>3740.58</v>
      </c>
      <c r="AA27" s="44">
        <f>4166.67</f>
        <v>4166.67</v>
      </c>
      <c r="AB27" s="44">
        <f t="shared" si="39"/>
        <v>-426.09000000000015</v>
      </c>
      <c r="AC27" s="45">
        <f t="shared" si="40"/>
        <v>0.89773848180921456</v>
      </c>
      <c r="AD27" s="44">
        <f>2566.77</f>
        <v>2566.77</v>
      </c>
      <c r="AE27" s="44">
        <f>4166.67</f>
        <v>4166.67</v>
      </c>
      <c r="AF27" s="44">
        <f t="shared" si="41"/>
        <v>-1599.9</v>
      </c>
      <c r="AG27" s="45">
        <f t="shared" si="42"/>
        <v>0.61602430718055423</v>
      </c>
      <c r="AH27" s="44">
        <f>1238.03</f>
        <v>1238.03</v>
      </c>
      <c r="AI27" s="44">
        <f>4166.67</f>
        <v>4166.67</v>
      </c>
      <c r="AJ27" s="44">
        <f t="shared" si="43"/>
        <v>-2928.6400000000003</v>
      </c>
      <c r="AK27" s="45">
        <f t="shared" si="44"/>
        <v>0.29712696229843016</v>
      </c>
      <c r="AL27" s="43"/>
      <c r="AM27" s="44">
        <f>4166.67</f>
        <v>4166.67</v>
      </c>
      <c r="AN27" s="44">
        <f t="shared" si="45"/>
        <v>-4166.67</v>
      </c>
      <c r="AO27" s="45">
        <f t="shared" si="46"/>
        <v>0</v>
      </c>
      <c r="AP27" s="43"/>
      <c r="AQ27" s="44">
        <f>4166.67</f>
        <v>4166.67</v>
      </c>
      <c r="AR27" s="44">
        <f t="shared" si="47"/>
        <v>-4166.67</v>
      </c>
      <c r="AS27" s="45">
        <f t="shared" si="48"/>
        <v>0</v>
      </c>
      <c r="AT27" s="43"/>
      <c r="AU27" s="44">
        <f>4166.63</f>
        <v>4166.63</v>
      </c>
      <c r="AV27" s="44">
        <f t="shared" si="49"/>
        <v>-4166.63</v>
      </c>
      <c r="AW27" s="45">
        <f t="shared" si="50"/>
        <v>0</v>
      </c>
      <c r="AX27" s="44">
        <f t="shared" si="51"/>
        <v>22891.829999999998</v>
      </c>
      <c r="AY27" s="44">
        <f t="shared" si="51"/>
        <v>49999.999999999985</v>
      </c>
      <c r="AZ27" s="44">
        <f t="shared" si="52"/>
        <v>-27108.169999999987</v>
      </c>
      <c r="BA27" s="45">
        <f t="shared" si="53"/>
        <v>0.45783660000000009</v>
      </c>
    </row>
    <row r="28" spans="1:53" x14ac:dyDescent="0.3">
      <c r="A28" s="42" t="s">
        <v>139</v>
      </c>
      <c r="B28" s="44">
        <f>31610.81</f>
        <v>31610.81</v>
      </c>
      <c r="C28" s="44">
        <f>35416.67</f>
        <v>35416.67</v>
      </c>
      <c r="D28" s="44">
        <f t="shared" si="27"/>
        <v>-3805.8599999999969</v>
      </c>
      <c r="E28" s="45">
        <f t="shared" si="28"/>
        <v>0.89254043364325342</v>
      </c>
      <c r="F28" s="44">
        <f>32251.25</f>
        <v>32251.25</v>
      </c>
      <c r="G28" s="44">
        <f>35416.67</f>
        <v>35416.67</v>
      </c>
      <c r="H28" s="44">
        <f t="shared" si="29"/>
        <v>-3165.4199999999983</v>
      </c>
      <c r="I28" s="45">
        <f t="shared" si="30"/>
        <v>0.91062344370602888</v>
      </c>
      <c r="J28" s="44">
        <f>31955.29</f>
        <v>31955.29</v>
      </c>
      <c r="K28" s="44">
        <f>35416.67</f>
        <v>35416.67</v>
      </c>
      <c r="L28" s="44">
        <f t="shared" si="31"/>
        <v>-3461.3799999999974</v>
      </c>
      <c r="M28" s="45">
        <f t="shared" si="32"/>
        <v>0.90226692684546583</v>
      </c>
      <c r="N28" s="44">
        <f>32511.75</f>
        <v>32511.75</v>
      </c>
      <c r="O28" s="44">
        <f>35416.67</f>
        <v>35416.67</v>
      </c>
      <c r="P28" s="44">
        <f t="shared" si="33"/>
        <v>-2904.9199999999983</v>
      </c>
      <c r="Q28" s="45">
        <f t="shared" si="34"/>
        <v>0.91797873713141298</v>
      </c>
      <c r="R28" s="44">
        <f>32342.8</f>
        <v>32342.799999999999</v>
      </c>
      <c r="S28" s="44">
        <f>35416.67</f>
        <v>35416.67</v>
      </c>
      <c r="T28" s="44">
        <f t="shared" si="35"/>
        <v>-3073.869999999999</v>
      </c>
      <c r="U28" s="45">
        <f t="shared" si="36"/>
        <v>0.91320838463921084</v>
      </c>
      <c r="V28" s="44">
        <f>32233.69</f>
        <v>32233.69</v>
      </c>
      <c r="W28" s="44">
        <f>35416.67</f>
        <v>35416.67</v>
      </c>
      <c r="X28" s="44">
        <f t="shared" si="37"/>
        <v>-3182.9799999999996</v>
      </c>
      <c r="Y28" s="45">
        <f t="shared" si="38"/>
        <v>0.91012763198798763</v>
      </c>
      <c r="Z28" s="44">
        <f>48620.34</f>
        <v>48620.34</v>
      </c>
      <c r="AA28" s="44">
        <f>35416.67</f>
        <v>35416.67</v>
      </c>
      <c r="AB28" s="44">
        <f t="shared" si="39"/>
        <v>13203.669999999998</v>
      </c>
      <c r="AC28" s="45">
        <f t="shared" si="40"/>
        <v>1.3728094707944027</v>
      </c>
      <c r="AD28" s="44">
        <f>33467.27</f>
        <v>33467.269999999997</v>
      </c>
      <c r="AE28" s="44">
        <f>35416.67</f>
        <v>35416.67</v>
      </c>
      <c r="AF28" s="44">
        <f t="shared" si="41"/>
        <v>-1949.4000000000015</v>
      </c>
      <c r="AG28" s="45">
        <f t="shared" si="42"/>
        <v>0.94495812282747071</v>
      </c>
      <c r="AH28" s="44">
        <f>16187.14</f>
        <v>16187.14</v>
      </c>
      <c r="AI28" s="44">
        <f>35416.67</f>
        <v>35416.67</v>
      </c>
      <c r="AJ28" s="44">
        <f t="shared" si="43"/>
        <v>-19229.53</v>
      </c>
      <c r="AK28" s="45">
        <f t="shared" si="44"/>
        <v>0.45704861580718908</v>
      </c>
      <c r="AL28" s="43"/>
      <c r="AM28" s="44">
        <f>35416.67</f>
        <v>35416.67</v>
      </c>
      <c r="AN28" s="44">
        <f t="shared" si="45"/>
        <v>-35416.67</v>
      </c>
      <c r="AO28" s="45">
        <f t="shared" si="46"/>
        <v>0</v>
      </c>
      <c r="AP28" s="43"/>
      <c r="AQ28" s="44">
        <f>35416.67</f>
        <v>35416.67</v>
      </c>
      <c r="AR28" s="44">
        <f t="shared" si="47"/>
        <v>-35416.67</v>
      </c>
      <c r="AS28" s="45">
        <f t="shared" si="48"/>
        <v>0</v>
      </c>
      <c r="AT28" s="43"/>
      <c r="AU28" s="44">
        <f>35416.63</f>
        <v>35416.629999999997</v>
      </c>
      <c r="AV28" s="44">
        <f t="shared" si="49"/>
        <v>-35416.629999999997</v>
      </c>
      <c r="AW28" s="45">
        <f t="shared" si="50"/>
        <v>0</v>
      </c>
      <c r="AX28" s="44">
        <f t="shared" si="51"/>
        <v>291180.34000000003</v>
      </c>
      <c r="AY28" s="44">
        <f t="shared" si="51"/>
        <v>424999.99999999988</v>
      </c>
      <c r="AZ28" s="44">
        <f t="shared" si="52"/>
        <v>-133819.65999999986</v>
      </c>
      <c r="BA28" s="45">
        <f t="shared" si="53"/>
        <v>0.68513021176470612</v>
      </c>
    </row>
    <row r="29" spans="1:53" x14ac:dyDescent="0.3">
      <c r="A29" s="42" t="s">
        <v>140</v>
      </c>
      <c r="B29" s="46">
        <f>((B26)+(B27))+(B28)</f>
        <v>34247.020000000004</v>
      </c>
      <c r="C29" s="46">
        <f>((C26)+(C27))+(C28)</f>
        <v>39583.339999999997</v>
      </c>
      <c r="D29" s="46">
        <f t="shared" si="27"/>
        <v>-5336.3199999999924</v>
      </c>
      <c r="E29" s="47">
        <f t="shared" si="28"/>
        <v>0.86518772796838284</v>
      </c>
      <c r="F29" s="46">
        <f>((F26)+(F27))+(F28)</f>
        <v>34866.660000000003</v>
      </c>
      <c r="G29" s="46">
        <f>((G26)+(G27))+(G28)</f>
        <v>39583.339999999997</v>
      </c>
      <c r="H29" s="46">
        <f t="shared" si="29"/>
        <v>-4716.679999999993</v>
      </c>
      <c r="I29" s="47">
        <f t="shared" si="30"/>
        <v>0.88084178848980421</v>
      </c>
      <c r="J29" s="46">
        <f>((J26)+(J27))+(J28)</f>
        <v>34498.06</v>
      </c>
      <c r="K29" s="46">
        <f>((K26)+(K27))+(K28)</f>
        <v>39583.339999999997</v>
      </c>
      <c r="L29" s="46">
        <f t="shared" si="31"/>
        <v>-5085.2799999999988</v>
      </c>
      <c r="M29" s="47">
        <f t="shared" si="32"/>
        <v>0.87152979005814069</v>
      </c>
      <c r="N29" s="46">
        <f>((N26)+(N27))+(N28)</f>
        <v>35062.379999999997</v>
      </c>
      <c r="O29" s="46">
        <f>((O26)+(O27))+(O28)</f>
        <v>39583.339999999997</v>
      </c>
      <c r="P29" s="46">
        <f t="shared" si="33"/>
        <v>-4520.9599999999991</v>
      </c>
      <c r="Q29" s="47">
        <f t="shared" si="34"/>
        <v>0.88578629292020328</v>
      </c>
      <c r="R29" s="46">
        <f>((R26)+(R27))+(R28)</f>
        <v>34850.75</v>
      </c>
      <c r="S29" s="46">
        <f>((S26)+(S27))+(S28)</f>
        <v>39583.339999999997</v>
      </c>
      <c r="T29" s="46">
        <f t="shared" si="35"/>
        <v>-4732.5899999999965</v>
      </c>
      <c r="U29" s="47">
        <f t="shared" si="36"/>
        <v>0.88043985171539352</v>
      </c>
      <c r="V29" s="46">
        <f>((V26)+(V27))+(V28)</f>
        <v>34727.17</v>
      </c>
      <c r="W29" s="46">
        <f>((W26)+(W27))+(W28)</f>
        <v>39583.339999999997</v>
      </c>
      <c r="X29" s="46">
        <f t="shared" si="37"/>
        <v>-4856.1699999999983</v>
      </c>
      <c r="Y29" s="47">
        <f t="shared" si="38"/>
        <v>0.87731783118857587</v>
      </c>
      <c r="Z29" s="46">
        <f>((Z26)+(Z27))+(Z28)</f>
        <v>52360.92</v>
      </c>
      <c r="AA29" s="46">
        <f>((AA26)+(AA27))+(AA28)</f>
        <v>39583.339999999997</v>
      </c>
      <c r="AB29" s="46">
        <f t="shared" si="39"/>
        <v>12777.580000000002</v>
      </c>
      <c r="AC29" s="47">
        <f t="shared" si="40"/>
        <v>1.3228019666859847</v>
      </c>
      <c r="AD29" s="46">
        <f>((AD26)+(AD27))+(AD28)</f>
        <v>36034.039999999994</v>
      </c>
      <c r="AE29" s="46">
        <f>((AE26)+(AE27))+(AE28)</f>
        <v>39583.339999999997</v>
      </c>
      <c r="AF29" s="46">
        <f t="shared" si="41"/>
        <v>-3549.3000000000029</v>
      </c>
      <c r="AG29" s="47">
        <f t="shared" si="42"/>
        <v>0.91033348878593867</v>
      </c>
      <c r="AH29" s="46">
        <f>((AH26)+(AH27))+(AH28)</f>
        <v>17425.169999999998</v>
      </c>
      <c r="AI29" s="46">
        <f>((AI26)+(AI27))+(AI28)</f>
        <v>39583.339999999997</v>
      </c>
      <c r="AJ29" s="46">
        <f t="shared" si="43"/>
        <v>-22158.17</v>
      </c>
      <c r="AK29" s="47">
        <f t="shared" si="44"/>
        <v>0.44021474691120049</v>
      </c>
      <c r="AL29" s="46">
        <f>((AL26)+(AL27))+(AL28)</f>
        <v>0</v>
      </c>
      <c r="AM29" s="46">
        <f>((AM26)+(AM27))+(AM28)</f>
        <v>39583.339999999997</v>
      </c>
      <c r="AN29" s="46">
        <f t="shared" si="45"/>
        <v>-39583.339999999997</v>
      </c>
      <c r="AO29" s="47">
        <f t="shared" si="46"/>
        <v>0</v>
      </c>
      <c r="AP29" s="46">
        <f>((AP26)+(AP27))+(AP28)</f>
        <v>0</v>
      </c>
      <c r="AQ29" s="46">
        <f>((AQ26)+(AQ27))+(AQ28)</f>
        <v>39583.339999999997</v>
      </c>
      <c r="AR29" s="46">
        <f t="shared" si="47"/>
        <v>-39583.339999999997</v>
      </c>
      <c r="AS29" s="47">
        <f t="shared" si="48"/>
        <v>0</v>
      </c>
      <c r="AT29" s="46">
        <f>((AT26)+(AT27))+(AT28)</f>
        <v>0</v>
      </c>
      <c r="AU29" s="46">
        <f>((AU26)+(AU27))+(AU28)</f>
        <v>39583.259999999995</v>
      </c>
      <c r="AV29" s="46">
        <f t="shared" si="49"/>
        <v>-39583.259999999995</v>
      </c>
      <c r="AW29" s="47">
        <f t="shared" si="50"/>
        <v>0</v>
      </c>
      <c r="AX29" s="46">
        <f t="shared" si="51"/>
        <v>314072.16999999993</v>
      </c>
      <c r="AY29" s="46">
        <f t="shared" si="51"/>
        <v>474999.99999999988</v>
      </c>
      <c r="AZ29" s="46">
        <f t="shared" si="52"/>
        <v>-160927.82999999996</v>
      </c>
      <c r="BA29" s="47">
        <f t="shared" si="53"/>
        <v>0.66120456842105269</v>
      </c>
    </row>
    <row r="30" spans="1:53" x14ac:dyDescent="0.3">
      <c r="A30" s="42" t="s">
        <v>141</v>
      </c>
      <c r="B30" s="43"/>
      <c r="C30" s="43"/>
      <c r="D30" s="44">
        <f t="shared" si="27"/>
        <v>0</v>
      </c>
      <c r="E30" s="45" t="str">
        <f t="shared" si="28"/>
        <v/>
      </c>
      <c r="F30" s="43"/>
      <c r="G30" s="43"/>
      <c r="H30" s="44">
        <f t="shared" si="29"/>
        <v>0</v>
      </c>
      <c r="I30" s="45" t="str">
        <f t="shared" si="30"/>
        <v/>
      </c>
      <c r="J30" s="43"/>
      <c r="K30" s="43"/>
      <c r="L30" s="44">
        <f t="shared" si="31"/>
        <v>0</v>
      </c>
      <c r="M30" s="45" t="str">
        <f t="shared" si="32"/>
        <v/>
      </c>
      <c r="N30" s="44">
        <f>3960.55</f>
        <v>3960.55</v>
      </c>
      <c r="O30" s="43"/>
      <c r="P30" s="44">
        <f t="shared" si="33"/>
        <v>3960.55</v>
      </c>
      <c r="Q30" s="45" t="str">
        <f t="shared" si="34"/>
        <v/>
      </c>
      <c r="R30" s="44">
        <f>1184.2</f>
        <v>1184.2</v>
      </c>
      <c r="S30" s="43"/>
      <c r="T30" s="44">
        <f t="shared" si="35"/>
        <v>1184.2</v>
      </c>
      <c r="U30" s="45" t="str">
        <f t="shared" si="36"/>
        <v/>
      </c>
      <c r="V30" s="44">
        <f>5725.49</f>
        <v>5725.49</v>
      </c>
      <c r="W30" s="43"/>
      <c r="X30" s="44">
        <f t="shared" si="37"/>
        <v>5725.49</v>
      </c>
      <c r="Y30" s="45" t="str">
        <f t="shared" si="38"/>
        <v/>
      </c>
      <c r="Z30" s="44">
        <f>263.16</f>
        <v>263.16000000000003</v>
      </c>
      <c r="AA30" s="43"/>
      <c r="AB30" s="44">
        <f t="shared" si="39"/>
        <v>263.16000000000003</v>
      </c>
      <c r="AC30" s="45" t="str">
        <f t="shared" si="40"/>
        <v/>
      </c>
      <c r="AD30" s="44">
        <f>118.71</f>
        <v>118.71</v>
      </c>
      <c r="AE30" s="43"/>
      <c r="AF30" s="44">
        <f t="shared" si="41"/>
        <v>118.71</v>
      </c>
      <c r="AG30" s="45" t="str">
        <f t="shared" si="42"/>
        <v/>
      </c>
      <c r="AH30" s="43"/>
      <c r="AI30" s="43"/>
      <c r="AJ30" s="44">
        <f t="shared" si="43"/>
        <v>0</v>
      </c>
      <c r="AK30" s="45" t="str">
        <f t="shared" si="44"/>
        <v/>
      </c>
      <c r="AL30" s="43"/>
      <c r="AM30" s="43"/>
      <c r="AN30" s="44">
        <f t="shared" si="45"/>
        <v>0</v>
      </c>
      <c r="AO30" s="45" t="str">
        <f t="shared" si="46"/>
        <v/>
      </c>
      <c r="AP30" s="43"/>
      <c r="AQ30" s="43"/>
      <c r="AR30" s="44">
        <f t="shared" si="47"/>
        <v>0</v>
      </c>
      <c r="AS30" s="45" t="str">
        <f t="shared" si="48"/>
        <v/>
      </c>
      <c r="AT30" s="43"/>
      <c r="AU30" s="43"/>
      <c r="AV30" s="44">
        <f t="shared" si="49"/>
        <v>0</v>
      </c>
      <c r="AW30" s="45" t="str">
        <f t="shared" si="50"/>
        <v/>
      </c>
      <c r="AX30" s="44">
        <f t="shared" si="51"/>
        <v>11252.109999999999</v>
      </c>
      <c r="AY30" s="44">
        <f t="shared" si="51"/>
        <v>0</v>
      </c>
      <c r="AZ30" s="44">
        <f t="shared" si="52"/>
        <v>11252.109999999999</v>
      </c>
      <c r="BA30" s="45" t="str">
        <f t="shared" si="53"/>
        <v/>
      </c>
    </row>
    <row r="31" spans="1:53" x14ac:dyDescent="0.3">
      <c r="A31" s="42" t="s">
        <v>142</v>
      </c>
      <c r="B31" s="44">
        <f>248</f>
        <v>248</v>
      </c>
      <c r="C31" s="44">
        <f>1041.67</f>
        <v>1041.67</v>
      </c>
      <c r="D31" s="44">
        <f t="shared" si="27"/>
        <v>-793.67000000000007</v>
      </c>
      <c r="E31" s="45">
        <f t="shared" si="28"/>
        <v>0.23807923814643792</v>
      </c>
      <c r="F31" s="44">
        <f>198</f>
        <v>198</v>
      </c>
      <c r="G31" s="44">
        <f>1041.67</f>
        <v>1041.67</v>
      </c>
      <c r="H31" s="44">
        <f t="shared" si="29"/>
        <v>-843.67000000000007</v>
      </c>
      <c r="I31" s="45">
        <f t="shared" si="30"/>
        <v>0.1900793917459464</v>
      </c>
      <c r="J31" s="44">
        <f>198</f>
        <v>198</v>
      </c>
      <c r="K31" s="44">
        <f>1041.67</f>
        <v>1041.67</v>
      </c>
      <c r="L31" s="44">
        <f t="shared" si="31"/>
        <v>-843.67000000000007</v>
      </c>
      <c r="M31" s="45">
        <f t="shared" si="32"/>
        <v>0.1900793917459464</v>
      </c>
      <c r="N31" s="44">
        <f>4198</f>
        <v>4198</v>
      </c>
      <c r="O31" s="44">
        <f>1041.67</f>
        <v>1041.67</v>
      </c>
      <c r="P31" s="44">
        <f t="shared" si="33"/>
        <v>3156.33</v>
      </c>
      <c r="Q31" s="45">
        <f t="shared" si="34"/>
        <v>4.0300671037852673</v>
      </c>
      <c r="R31" s="44">
        <f>198</f>
        <v>198</v>
      </c>
      <c r="S31" s="44">
        <f>1041.67</f>
        <v>1041.67</v>
      </c>
      <c r="T31" s="44">
        <f t="shared" si="35"/>
        <v>-843.67000000000007</v>
      </c>
      <c r="U31" s="45">
        <f t="shared" si="36"/>
        <v>0.1900793917459464</v>
      </c>
      <c r="V31" s="44">
        <f>4198</f>
        <v>4198</v>
      </c>
      <c r="W31" s="44">
        <f>1041.67</f>
        <v>1041.67</v>
      </c>
      <c r="X31" s="44">
        <f t="shared" si="37"/>
        <v>3156.33</v>
      </c>
      <c r="Y31" s="45">
        <f t="shared" si="38"/>
        <v>4.0300671037852673</v>
      </c>
      <c r="Z31" s="44">
        <f>4193</f>
        <v>4193</v>
      </c>
      <c r="AA31" s="44">
        <f>1041.67</f>
        <v>1041.67</v>
      </c>
      <c r="AB31" s="44">
        <f t="shared" si="39"/>
        <v>3151.33</v>
      </c>
      <c r="AC31" s="45">
        <f t="shared" si="40"/>
        <v>4.0252671191452185</v>
      </c>
      <c r="AD31" s="44">
        <f>198</f>
        <v>198</v>
      </c>
      <c r="AE31" s="44">
        <f>1041.67</f>
        <v>1041.67</v>
      </c>
      <c r="AF31" s="44">
        <f t="shared" si="41"/>
        <v>-843.67000000000007</v>
      </c>
      <c r="AG31" s="45">
        <f t="shared" si="42"/>
        <v>0.1900793917459464</v>
      </c>
      <c r="AH31" s="43"/>
      <c r="AI31" s="44">
        <f>1041.67</f>
        <v>1041.67</v>
      </c>
      <c r="AJ31" s="44">
        <f t="shared" si="43"/>
        <v>-1041.67</v>
      </c>
      <c r="AK31" s="45">
        <f t="shared" si="44"/>
        <v>0</v>
      </c>
      <c r="AL31" s="43"/>
      <c r="AM31" s="44">
        <f>1041.67</f>
        <v>1041.67</v>
      </c>
      <c r="AN31" s="44">
        <f t="shared" si="45"/>
        <v>-1041.67</v>
      </c>
      <c r="AO31" s="45">
        <f t="shared" si="46"/>
        <v>0</v>
      </c>
      <c r="AP31" s="43"/>
      <c r="AQ31" s="44">
        <f>1041.67</f>
        <v>1041.67</v>
      </c>
      <c r="AR31" s="44">
        <f t="shared" si="47"/>
        <v>-1041.67</v>
      </c>
      <c r="AS31" s="45">
        <f t="shared" si="48"/>
        <v>0</v>
      </c>
      <c r="AT31" s="43"/>
      <c r="AU31" s="44">
        <f>1041.63</f>
        <v>1041.6300000000001</v>
      </c>
      <c r="AV31" s="44">
        <f t="shared" si="49"/>
        <v>-1041.6300000000001</v>
      </c>
      <c r="AW31" s="45">
        <f t="shared" si="50"/>
        <v>0</v>
      </c>
      <c r="AX31" s="44">
        <f t="shared" si="51"/>
        <v>13629</v>
      </c>
      <c r="AY31" s="44">
        <f t="shared" si="51"/>
        <v>12500</v>
      </c>
      <c r="AZ31" s="44">
        <f t="shared" si="52"/>
        <v>1129</v>
      </c>
      <c r="BA31" s="45">
        <f t="shared" si="53"/>
        <v>1.09032</v>
      </c>
    </row>
    <row r="32" spans="1:53" x14ac:dyDescent="0.3">
      <c r="A32" s="42" t="s">
        <v>143</v>
      </c>
      <c r="B32" s="43"/>
      <c r="C32" s="44">
        <f>1000</f>
        <v>1000</v>
      </c>
      <c r="D32" s="44">
        <f t="shared" si="27"/>
        <v>-1000</v>
      </c>
      <c r="E32" s="45">
        <f t="shared" si="28"/>
        <v>0</v>
      </c>
      <c r="F32" s="43"/>
      <c r="G32" s="44">
        <f>1000</f>
        <v>1000</v>
      </c>
      <c r="H32" s="44">
        <f t="shared" si="29"/>
        <v>-1000</v>
      </c>
      <c r="I32" s="45">
        <f t="shared" si="30"/>
        <v>0</v>
      </c>
      <c r="J32" s="44">
        <f>617.5</f>
        <v>617.5</v>
      </c>
      <c r="K32" s="44">
        <f>1000</f>
        <v>1000</v>
      </c>
      <c r="L32" s="44">
        <f t="shared" si="31"/>
        <v>-382.5</v>
      </c>
      <c r="M32" s="45">
        <f t="shared" si="32"/>
        <v>0.61750000000000005</v>
      </c>
      <c r="N32" s="43"/>
      <c r="O32" s="44">
        <f>1000</f>
        <v>1000</v>
      </c>
      <c r="P32" s="44">
        <f t="shared" si="33"/>
        <v>-1000</v>
      </c>
      <c r="Q32" s="45">
        <f t="shared" si="34"/>
        <v>0</v>
      </c>
      <c r="R32" s="44">
        <f>542.77</f>
        <v>542.77</v>
      </c>
      <c r="S32" s="44">
        <f>1000</f>
        <v>1000</v>
      </c>
      <c r="T32" s="44">
        <f t="shared" si="35"/>
        <v>-457.23</v>
      </c>
      <c r="U32" s="45">
        <f t="shared" si="36"/>
        <v>0.54276999999999997</v>
      </c>
      <c r="V32" s="44">
        <f>4331.99</f>
        <v>4331.99</v>
      </c>
      <c r="W32" s="44">
        <f>1000</f>
        <v>1000</v>
      </c>
      <c r="X32" s="44">
        <f t="shared" si="37"/>
        <v>3331.99</v>
      </c>
      <c r="Y32" s="45">
        <f t="shared" si="38"/>
        <v>4.3319899999999993</v>
      </c>
      <c r="Z32" s="44">
        <f>100</f>
        <v>100</v>
      </c>
      <c r="AA32" s="44">
        <f>1000</f>
        <v>1000</v>
      </c>
      <c r="AB32" s="44">
        <f t="shared" si="39"/>
        <v>-900</v>
      </c>
      <c r="AC32" s="45">
        <f t="shared" si="40"/>
        <v>0.1</v>
      </c>
      <c r="AD32" s="44">
        <f>277.3</f>
        <v>277.3</v>
      </c>
      <c r="AE32" s="44">
        <f>1000</f>
        <v>1000</v>
      </c>
      <c r="AF32" s="44">
        <f t="shared" si="41"/>
        <v>-722.7</v>
      </c>
      <c r="AG32" s="45">
        <f t="shared" si="42"/>
        <v>0.27729999999999999</v>
      </c>
      <c r="AH32" s="43"/>
      <c r="AI32" s="44">
        <f>1000</f>
        <v>1000</v>
      </c>
      <c r="AJ32" s="44">
        <f t="shared" si="43"/>
        <v>-1000</v>
      </c>
      <c r="AK32" s="45">
        <f t="shared" si="44"/>
        <v>0</v>
      </c>
      <c r="AL32" s="43"/>
      <c r="AM32" s="44">
        <f>1000</f>
        <v>1000</v>
      </c>
      <c r="AN32" s="44">
        <f t="shared" si="45"/>
        <v>-1000</v>
      </c>
      <c r="AO32" s="45">
        <f t="shared" si="46"/>
        <v>0</v>
      </c>
      <c r="AP32" s="43"/>
      <c r="AQ32" s="44">
        <f>1000</f>
        <v>1000</v>
      </c>
      <c r="AR32" s="44">
        <f t="shared" si="47"/>
        <v>-1000</v>
      </c>
      <c r="AS32" s="45">
        <f t="shared" si="48"/>
        <v>0</v>
      </c>
      <c r="AT32" s="43"/>
      <c r="AU32" s="44">
        <f>1000</f>
        <v>1000</v>
      </c>
      <c r="AV32" s="44">
        <f t="shared" si="49"/>
        <v>-1000</v>
      </c>
      <c r="AW32" s="45">
        <f t="shared" si="50"/>
        <v>0</v>
      </c>
      <c r="AX32" s="44">
        <f t="shared" si="51"/>
        <v>5869.56</v>
      </c>
      <c r="AY32" s="44">
        <f t="shared" si="51"/>
        <v>12000</v>
      </c>
      <c r="AZ32" s="44">
        <f t="shared" si="52"/>
        <v>-6130.44</v>
      </c>
      <c r="BA32" s="45">
        <f t="shared" si="53"/>
        <v>0.48913000000000001</v>
      </c>
    </row>
    <row r="33" spans="1:53" x14ac:dyDescent="0.3">
      <c r="A33" s="42" t="s">
        <v>144</v>
      </c>
      <c r="B33" s="43"/>
      <c r="C33" s="44">
        <f>1666.67</f>
        <v>1666.67</v>
      </c>
      <c r="D33" s="44">
        <f t="shared" si="27"/>
        <v>-1666.67</v>
      </c>
      <c r="E33" s="45">
        <f t="shared" si="28"/>
        <v>0</v>
      </c>
      <c r="F33" s="43"/>
      <c r="G33" s="44">
        <f>1666.67</f>
        <v>1666.67</v>
      </c>
      <c r="H33" s="44">
        <f t="shared" si="29"/>
        <v>-1666.67</v>
      </c>
      <c r="I33" s="45">
        <f t="shared" si="30"/>
        <v>0</v>
      </c>
      <c r="J33" s="44">
        <f>90</f>
        <v>90</v>
      </c>
      <c r="K33" s="44">
        <f>1666.67</f>
        <v>1666.67</v>
      </c>
      <c r="L33" s="44">
        <f t="shared" si="31"/>
        <v>-1576.67</v>
      </c>
      <c r="M33" s="45">
        <f t="shared" si="32"/>
        <v>5.3999892000215995E-2</v>
      </c>
      <c r="N33" s="43"/>
      <c r="O33" s="44">
        <f>1666.67</f>
        <v>1666.67</v>
      </c>
      <c r="P33" s="44">
        <f t="shared" si="33"/>
        <v>-1666.67</v>
      </c>
      <c r="Q33" s="45">
        <f t="shared" si="34"/>
        <v>0</v>
      </c>
      <c r="R33" s="43"/>
      <c r="S33" s="44">
        <f>1666.67</f>
        <v>1666.67</v>
      </c>
      <c r="T33" s="44">
        <f t="shared" si="35"/>
        <v>-1666.67</v>
      </c>
      <c r="U33" s="45">
        <f t="shared" si="36"/>
        <v>0</v>
      </c>
      <c r="V33" s="44">
        <f>6</f>
        <v>6</v>
      </c>
      <c r="W33" s="44">
        <f>1666.67</f>
        <v>1666.67</v>
      </c>
      <c r="X33" s="44">
        <f t="shared" si="37"/>
        <v>-1660.67</v>
      </c>
      <c r="Y33" s="45">
        <f t="shared" si="38"/>
        <v>3.5999928000144E-3</v>
      </c>
      <c r="Z33" s="44">
        <f>6</f>
        <v>6</v>
      </c>
      <c r="AA33" s="44">
        <f>1666.67</f>
        <v>1666.67</v>
      </c>
      <c r="AB33" s="44">
        <f t="shared" si="39"/>
        <v>-1660.67</v>
      </c>
      <c r="AC33" s="45">
        <f t="shared" si="40"/>
        <v>3.5999928000144E-3</v>
      </c>
      <c r="AD33" s="43"/>
      <c r="AE33" s="44">
        <f>1666.67</f>
        <v>1666.67</v>
      </c>
      <c r="AF33" s="44">
        <f t="shared" si="41"/>
        <v>-1666.67</v>
      </c>
      <c r="AG33" s="45">
        <f t="shared" si="42"/>
        <v>0</v>
      </c>
      <c r="AH33" s="43"/>
      <c r="AI33" s="44">
        <f>1666.67</f>
        <v>1666.67</v>
      </c>
      <c r="AJ33" s="44">
        <f t="shared" si="43"/>
        <v>-1666.67</v>
      </c>
      <c r="AK33" s="45">
        <f t="shared" si="44"/>
        <v>0</v>
      </c>
      <c r="AL33" s="43"/>
      <c r="AM33" s="44">
        <f>1666.67</f>
        <v>1666.67</v>
      </c>
      <c r="AN33" s="44">
        <f t="shared" si="45"/>
        <v>-1666.67</v>
      </c>
      <c r="AO33" s="45">
        <f t="shared" si="46"/>
        <v>0</v>
      </c>
      <c r="AP33" s="43"/>
      <c r="AQ33" s="44">
        <f>1666.67</f>
        <v>1666.67</v>
      </c>
      <c r="AR33" s="44">
        <f t="shared" si="47"/>
        <v>-1666.67</v>
      </c>
      <c r="AS33" s="45">
        <f t="shared" si="48"/>
        <v>0</v>
      </c>
      <c r="AT33" s="43"/>
      <c r="AU33" s="44">
        <f>1666.63</f>
        <v>1666.63</v>
      </c>
      <c r="AV33" s="44">
        <f t="shared" si="49"/>
        <v>-1666.63</v>
      </c>
      <c r="AW33" s="45">
        <f t="shared" si="50"/>
        <v>0</v>
      </c>
      <c r="AX33" s="44">
        <f t="shared" si="51"/>
        <v>102</v>
      </c>
      <c r="AY33" s="44">
        <f t="shared" si="51"/>
        <v>20000.000000000004</v>
      </c>
      <c r="AZ33" s="44">
        <f t="shared" si="52"/>
        <v>-19898.000000000004</v>
      </c>
      <c r="BA33" s="45">
        <f t="shared" si="53"/>
        <v>5.0999999999999995E-3</v>
      </c>
    </row>
    <row r="34" spans="1:53" x14ac:dyDescent="0.3">
      <c r="A34" s="42" t="s">
        <v>145</v>
      </c>
      <c r="B34" s="44">
        <f>306.29</f>
        <v>306.29000000000002</v>
      </c>
      <c r="C34" s="43"/>
      <c r="D34" s="44">
        <f t="shared" si="27"/>
        <v>306.29000000000002</v>
      </c>
      <c r="E34" s="45" t="str">
        <f t="shared" si="28"/>
        <v/>
      </c>
      <c r="F34" s="44">
        <f>325.49</f>
        <v>325.49</v>
      </c>
      <c r="G34" s="43"/>
      <c r="H34" s="44">
        <f t="shared" si="29"/>
        <v>325.49</v>
      </c>
      <c r="I34" s="45" t="str">
        <f t="shared" si="30"/>
        <v/>
      </c>
      <c r="J34" s="44">
        <f>280.03</f>
        <v>280.02999999999997</v>
      </c>
      <c r="K34" s="43"/>
      <c r="L34" s="44">
        <f t="shared" si="31"/>
        <v>280.02999999999997</v>
      </c>
      <c r="M34" s="45" t="str">
        <f t="shared" si="32"/>
        <v/>
      </c>
      <c r="N34" s="44">
        <f>333.28</f>
        <v>333.28</v>
      </c>
      <c r="O34" s="43"/>
      <c r="P34" s="44">
        <f t="shared" si="33"/>
        <v>333.28</v>
      </c>
      <c r="Q34" s="45" t="str">
        <f t="shared" si="34"/>
        <v/>
      </c>
      <c r="R34" s="44">
        <f>364.29</f>
        <v>364.29</v>
      </c>
      <c r="S34" s="43"/>
      <c r="T34" s="44">
        <f t="shared" si="35"/>
        <v>364.29</v>
      </c>
      <c r="U34" s="45" t="str">
        <f t="shared" si="36"/>
        <v/>
      </c>
      <c r="V34" s="44">
        <f>329.37</f>
        <v>329.37</v>
      </c>
      <c r="W34" s="43"/>
      <c r="X34" s="44">
        <f t="shared" si="37"/>
        <v>329.37</v>
      </c>
      <c r="Y34" s="45" t="str">
        <f t="shared" si="38"/>
        <v/>
      </c>
      <c r="Z34" s="44">
        <f>334.78</f>
        <v>334.78</v>
      </c>
      <c r="AA34" s="43"/>
      <c r="AB34" s="44">
        <f t="shared" si="39"/>
        <v>334.78</v>
      </c>
      <c r="AC34" s="45" t="str">
        <f t="shared" si="40"/>
        <v/>
      </c>
      <c r="AD34" s="44">
        <f>352.64</f>
        <v>352.64</v>
      </c>
      <c r="AE34" s="43"/>
      <c r="AF34" s="44">
        <f t="shared" si="41"/>
        <v>352.64</v>
      </c>
      <c r="AG34" s="45" t="str">
        <f t="shared" si="42"/>
        <v/>
      </c>
      <c r="AH34" s="43"/>
      <c r="AI34" s="43"/>
      <c r="AJ34" s="44">
        <f t="shared" si="43"/>
        <v>0</v>
      </c>
      <c r="AK34" s="45" t="str">
        <f t="shared" si="44"/>
        <v/>
      </c>
      <c r="AL34" s="43"/>
      <c r="AM34" s="43"/>
      <c r="AN34" s="44">
        <f t="shared" si="45"/>
        <v>0</v>
      </c>
      <c r="AO34" s="45" t="str">
        <f t="shared" si="46"/>
        <v/>
      </c>
      <c r="AP34" s="43"/>
      <c r="AQ34" s="43"/>
      <c r="AR34" s="44">
        <f t="shared" si="47"/>
        <v>0</v>
      </c>
      <c r="AS34" s="45" t="str">
        <f t="shared" si="48"/>
        <v/>
      </c>
      <c r="AT34" s="43"/>
      <c r="AU34" s="43"/>
      <c r="AV34" s="44">
        <f t="shared" si="49"/>
        <v>0</v>
      </c>
      <c r="AW34" s="45" t="str">
        <f t="shared" si="50"/>
        <v/>
      </c>
      <c r="AX34" s="44">
        <f t="shared" si="51"/>
        <v>2626.1699999999996</v>
      </c>
      <c r="AY34" s="44">
        <f t="shared" si="51"/>
        <v>0</v>
      </c>
      <c r="AZ34" s="44">
        <f t="shared" si="52"/>
        <v>2626.1699999999996</v>
      </c>
      <c r="BA34" s="45" t="str">
        <f t="shared" si="53"/>
        <v/>
      </c>
    </row>
    <row r="35" spans="1:53" x14ac:dyDescent="0.3">
      <c r="A35" s="42" t="s">
        <v>146</v>
      </c>
      <c r="B35" s="43"/>
      <c r="C35" s="43"/>
      <c r="D35" s="44">
        <f t="shared" si="27"/>
        <v>0</v>
      </c>
      <c r="E35" s="45" t="str">
        <f t="shared" si="28"/>
        <v/>
      </c>
      <c r="F35" s="43"/>
      <c r="G35" s="43"/>
      <c r="H35" s="44">
        <f t="shared" si="29"/>
        <v>0</v>
      </c>
      <c r="I35" s="45" t="str">
        <f t="shared" si="30"/>
        <v/>
      </c>
      <c r="J35" s="43"/>
      <c r="K35" s="43"/>
      <c r="L35" s="44">
        <f t="shared" si="31"/>
        <v>0</v>
      </c>
      <c r="M35" s="45" t="str">
        <f t="shared" si="32"/>
        <v/>
      </c>
      <c r="N35" s="43"/>
      <c r="O35" s="43"/>
      <c r="P35" s="44">
        <f t="shared" si="33"/>
        <v>0</v>
      </c>
      <c r="Q35" s="45" t="str">
        <f t="shared" si="34"/>
        <v/>
      </c>
      <c r="R35" s="43"/>
      <c r="S35" s="43"/>
      <c r="T35" s="44">
        <f t="shared" si="35"/>
        <v>0</v>
      </c>
      <c r="U35" s="45" t="str">
        <f t="shared" si="36"/>
        <v/>
      </c>
      <c r="V35" s="43"/>
      <c r="W35" s="43"/>
      <c r="X35" s="44">
        <f t="shared" si="37"/>
        <v>0</v>
      </c>
      <c r="Y35" s="45" t="str">
        <f t="shared" si="38"/>
        <v/>
      </c>
      <c r="Z35" s="43"/>
      <c r="AA35" s="43"/>
      <c r="AB35" s="44">
        <f t="shared" si="39"/>
        <v>0</v>
      </c>
      <c r="AC35" s="45" t="str">
        <f t="shared" si="40"/>
        <v/>
      </c>
      <c r="AD35" s="43"/>
      <c r="AE35" s="43"/>
      <c r="AF35" s="44">
        <f t="shared" si="41"/>
        <v>0</v>
      </c>
      <c r="AG35" s="45" t="str">
        <f t="shared" si="42"/>
        <v/>
      </c>
      <c r="AH35" s="43"/>
      <c r="AI35" s="43"/>
      <c r="AJ35" s="44">
        <f t="shared" si="43"/>
        <v>0</v>
      </c>
      <c r="AK35" s="45" t="str">
        <f t="shared" si="44"/>
        <v/>
      </c>
      <c r="AL35" s="43"/>
      <c r="AM35" s="43"/>
      <c r="AN35" s="44">
        <f t="shared" si="45"/>
        <v>0</v>
      </c>
      <c r="AO35" s="45" t="str">
        <f t="shared" si="46"/>
        <v/>
      </c>
      <c r="AP35" s="43"/>
      <c r="AQ35" s="43"/>
      <c r="AR35" s="44">
        <f t="shared" si="47"/>
        <v>0</v>
      </c>
      <c r="AS35" s="45" t="str">
        <f t="shared" si="48"/>
        <v/>
      </c>
      <c r="AT35" s="43"/>
      <c r="AU35" s="43"/>
      <c r="AV35" s="44">
        <f t="shared" si="49"/>
        <v>0</v>
      </c>
      <c r="AW35" s="45" t="str">
        <f t="shared" si="50"/>
        <v/>
      </c>
      <c r="AX35" s="44">
        <f t="shared" si="51"/>
        <v>0</v>
      </c>
      <c r="AY35" s="44">
        <f t="shared" si="51"/>
        <v>0</v>
      </c>
      <c r="AZ35" s="44">
        <f t="shared" si="52"/>
        <v>0</v>
      </c>
      <c r="BA35" s="45" t="str">
        <f t="shared" si="53"/>
        <v/>
      </c>
    </row>
    <row r="36" spans="1:53" x14ac:dyDescent="0.3">
      <c r="A36" s="42" t="s">
        <v>147</v>
      </c>
      <c r="B36" s="43"/>
      <c r="C36" s="43"/>
      <c r="D36" s="44">
        <f t="shared" si="27"/>
        <v>0</v>
      </c>
      <c r="E36" s="45" t="str">
        <f t="shared" si="28"/>
        <v/>
      </c>
      <c r="F36" s="43"/>
      <c r="G36" s="43"/>
      <c r="H36" s="44">
        <f t="shared" si="29"/>
        <v>0</v>
      </c>
      <c r="I36" s="45" t="str">
        <f t="shared" si="30"/>
        <v/>
      </c>
      <c r="J36" s="43"/>
      <c r="K36" s="43"/>
      <c r="L36" s="44">
        <f t="shared" si="31"/>
        <v>0</v>
      </c>
      <c r="M36" s="45" t="str">
        <f t="shared" si="32"/>
        <v/>
      </c>
      <c r="N36" s="43"/>
      <c r="O36" s="43"/>
      <c r="P36" s="44">
        <f t="shared" si="33"/>
        <v>0</v>
      </c>
      <c r="Q36" s="45" t="str">
        <f t="shared" si="34"/>
        <v/>
      </c>
      <c r="R36" s="43"/>
      <c r="S36" s="43"/>
      <c r="T36" s="44">
        <f t="shared" si="35"/>
        <v>0</v>
      </c>
      <c r="U36" s="45" t="str">
        <f t="shared" si="36"/>
        <v/>
      </c>
      <c r="V36" s="43"/>
      <c r="W36" s="43"/>
      <c r="X36" s="44">
        <f t="shared" si="37"/>
        <v>0</v>
      </c>
      <c r="Y36" s="45" t="str">
        <f t="shared" si="38"/>
        <v/>
      </c>
      <c r="Z36" s="43"/>
      <c r="AA36" s="43"/>
      <c r="AB36" s="44">
        <f t="shared" si="39"/>
        <v>0</v>
      </c>
      <c r="AC36" s="45" t="str">
        <f t="shared" si="40"/>
        <v/>
      </c>
      <c r="AD36" s="43"/>
      <c r="AE36" s="43"/>
      <c r="AF36" s="44">
        <f t="shared" si="41"/>
        <v>0</v>
      </c>
      <c r="AG36" s="45" t="str">
        <f t="shared" si="42"/>
        <v/>
      </c>
      <c r="AH36" s="43"/>
      <c r="AI36" s="43"/>
      <c r="AJ36" s="44">
        <f t="shared" si="43"/>
        <v>0</v>
      </c>
      <c r="AK36" s="45" t="str">
        <f t="shared" si="44"/>
        <v/>
      </c>
      <c r="AL36" s="43"/>
      <c r="AM36" s="43"/>
      <c r="AN36" s="44">
        <f t="shared" si="45"/>
        <v>0</v>
      </c>
      <c r="AO36" s="45" t="str">
        <f t="shared" si="46"/>
        <v/>
      </c>
      <c r="AP36" s="43"/>
      <c r="AQ36" s="43"/>
      <c r="AR36" s="44">
        <f t="shared" si="47"/>
        <v>0</v>
      </c>
      <c r="AS36" s="45" t="str">
        <f t="shared" si="48"/>
        <v/>
      </c>
      <c r="AT36" s="43"/>
      <c r="AU36" s="43"/>
      <c r="AV36" s="44">
        <f t="shared" si="49"/>
        <v>0</v>
      </c>
      <c r="AW36" s="45" t="str">
        <f t="shared" si="50"/>
        <v/>
      </c>
      <c r="AX36" s="44">
        <f t="shared" si="51"/>
        <v>0</v>
      </c>
      <c r="AY36" s="44">
        <f t="shared" si="51"/>
        <v>0</v>
      </c>
      <c r="AZ36" s="44">
        <f t="shared" si="52"/>
        <v>0</v>
      </c>
      <c r="BA36" s="45" t="str">
        <f t="shared" si="53"/>
        <v/>
      </c>
    </row>
    <row r="37" spans="1:53" x14ac:dyDescent="0.3">
      <c r="A37" s="42" t="s">
        <v>148</v>
      </c>
      <c r="B37" s="44">
        <f>400.91</f>
        <v>400.91</v>
      </c>
      <c r="C37" s="44">
        <f>416.67</f>
        <v>416.67</v>
      </c>
      <c r="D37" s="44">
        <f t="shared" si="27"/>
        <v>-15.759999999999991</v>
      </c>
      <c r="E37" s="45">
        <f t="shared" si="28"/>
        <v>0.96217630258957931</v>
      </c>
      <c r="F37" s="44">
        <f>341.92</f>
        <v>341.92</v>
      </c>
      <c r="G37" s="44">
        <f>416.67</f>
        <v>416.67</v>
      </c>
      <c r="H37" s="44">
        <f t="shared" si="29"/>
        <v>-74.75</v>
      </c>
      <c r="I37" s="45">
        <f t="shared" si="30"/>
        <v>0.82060143518851847</v>
      </c>
      <c r="J37" s="44">
        <f>409.9</f>
        <v>409.9</v>
      </c>
      <c r="K37" s="44">
        <f>416.67</f>
        <v>416.67</v>
      </c>
      <c r="L37" s="44">
        <f t="shared" si="31"/>
        <v>-6.7700000000000387</v>
      </c>
      <c r="M37" s="45">
        <f t="shared" si="32"/>
        <v>0.98375212998296002</v>
      </c>
      <c r="N37" s="44">
        <f>422.9</f>
        <v>422.9</v>
      </c>
      <c r="O37" s="44">
        <f>416.67</f>
        <v>416.67</v>
      </c>
      <c r="P37" s="44">
        <f t="shared" si="33"/>
        <v>6.2299999999999613</v>
      </c>
      <c r="Q37" s="45">
        <f t="shared" si="34"/>
        <v>1.0149518803849569</v>
      </c>
      <c r="R37" s="44">
        <f>453.9</f>
        <v>453.9</v>
      </c>
      <c r="S37" s="44">
        <f>416.67</f>
        <v>416.67</v>
      </c>
      <c r="T37" s="44">
        <f t="shared" si="35"/>
        <v>37.229999999999961</v>
      </c>
      <c r="U37" s="45">
        <f t="shared" si="36"/>
        <v>1.0893512851897185</v>
      </c>
      <c r="V37" s="44">
        <f>404.91</f>
        <v>404.91</v>
      </c>
      <c r="W37" s="44">
        <f>416.67</f>
        <v>416.67</v>
      </c>
      <c r="X37" s="44">
        <f t="shared" si="37"/>
        <v>-11.759999999999991</v>
      </c>
      <c r="Y37" s="45">
        <f t="shared" si="38"/>
        <v>0.97177622579019374</v>
      </c>
      <c r="Z37" s="44">
        <f>315.94</f>
        <v>315.94</v>
      </c>
      <c r="AA37" s="44">
        <f>416.67</f>
        <v>416.67</v>
      </c>
      <c r="AB37" s="44">
        <f t="shared" si="39"/>
        <v>-100.73000000000002</v>
      </c>
      <c r="AC37" s="45">
        <f t="shared" si="40"/>
        <v>0.75824993400052798</v>
      </c>
      <c r="AD37" s="44">
        <f>490.9</f>
        <v>490.9</v>
      </c>
      <c r="AE37" s="44">
        <f>416.67</f>
        <v>416.67</v>
      </c>
      <c r="AF37" s="44">
        <f t="shared" si="41"/>
        <v>74.229999999999961</v>
      </c>
      <c r="AG37" s="45">
        <f t="shared" si="42"/>
        <v>1.1781505747954015</v>
      </c>
      <c r="AH37" s="43"/>
      <c r="AI37" s="44">
        <f>416.67</f>
        <v>416.67</v>
      </c>
      <c r="AJ37" s="44">
        <f t="shared" si="43"/>
        <v>-416.67</v>
      </c>
      <c r="AK37" s="45">
        <f t="shared" si="44"/>
        <v>0</v>
      </c>
      <c r="AL37" s="43"/>
      <c r="AM37" s="44">
        <f>416.67</f>
        <v>416.67</v>
      </c>
      <c r="AN37" s="44">
        <f t="shared" si="45"/>
        <v>-416.67</v>
      </c>
      <c r="AO37" s="45">
        <f t="shared" si="46"/>
        <v>0</v>
      </c>
      <c r="AP37" s="43"/>
      <c r="AQ37" s="44">
        <f>416.67</f>
        <v>416.67</v>
      </c>
      <c r="AR37" s="44">
        <f t="shared" si="47"/>
        <v>-416.67</v>
      </c>
      <c r="AS37" s="45">
        <f t="shared" si="48"/>
        <v>0</v>
      </c>
      <c r="AT37" s="43"/>
      <c r="AU37" s="44">
        <f>416.63</f>
        <v>416.63</v>
      </c>
      <c r="AV37" s="44">
        <f t="shared" si="49"/>
        <v>-416.63</v>
      </c>
      <c r="AW37" s="45">
        <f t="shared" si="50"/>
        <v>0</v>
      </c>
      <c r="AX37" s="44">
        <f t="shared" si="51"/>
        <v>3241.28</v>
      </c>
      <c r="AY37" s="44">
        <f t="shared" si="51"/>
        <v>5000</v>
      </c>
      <c r="AZ37" s="44">
        <f t="shared" si="52"/>
        <v>-1758.7199999999998</v>
      </c>
      <c r="BA37" s="45">
        <f t="shared" si="53"/>
        <v>0.64825600000000005</v>
      </c>
    </row>
    <row r="38" spans="1:53" x14ac:dyDescent="0.3">
      <c r="A38" s="42" t="s">
        <v>149</v>
      </c>
      <c r="B38" s="44">
        <f>199.97</f>
        <v>199.97</v>
      </c>
      <c r="C38" s="44">
        <f>125</f>
        <v>125</v>
      </c>
      <c r="D38" s="44">
        <f t="shared" si="27"/>
        <v>74.97</v>
      </c>
      <c r="E38" s="45">
        <f t="shared" si="28"/>
        <v>1.5997600000000001</v>
      </c>
      <c r="F38" s="43"/>
      <c r="G38" s="44">
        <f>125</f>
        <v>125</v>
      </c>
      <c r="H38" s="44">
        <f t="shared" si="29"/>
        <v>-125</v>
      </c>
      <c r="I38" s="45">
        <f t="shared" si="30"/>
        <v>0</v>
      </c>
      <c r="J38" s="44">
        <f>294.83</f>
        <v>294.83</v>
      </c>
      <c r="K38" s="44">
        <f>125</f>
        <v>125</v>
      </c>
      <c r="L38" s="44">
        <f t="shared" si="31"/>
        <v>169.82999999999998</v>
      </c>
      <c r="M38" s="45">
        <f t="shared" si="32"/>
        <v>2.3586399999999998</v>
      </c>
      <c r="N38" s="44">
        <f>24.99</f>
        <v>24.99</v>
      </c>
      <c r="O38" s="44">
        <f>125</f>
        <v>125</v>
      </c>
      <c r="P38" s="44">
        <f t="shared" si="33"/>
        <v>-100.01</v>
      </c>
      <c r="Q38" s="45">
        <f t="shared" si="34"/>
        <v>0.19991999999999999</v>
      </c>
      <c r="R38" s="43"/>
      <c r="S38" s="44">
        <f>125</f>
        <v>125</v>
      </c>
      <c r="T38" s="44">
        <f t="shared" si="35"/>
        <v>-125</v>
      </c>
      <c r="U38" s="45">
        <f t="shared" si="36"/>
        <v>0</v>
      </c>
      <c r="V38" s="43"/>
      <c r="W38" s="44">
        <f>125</f>
        <v>125</v>
      </c>
      <c r="X38" s="44">
        <f t="shared" si="37"/>
        <v>-125</v>
      </c>
      <c r="Y38" s="45">
        <f t="shared" si="38"/>
        <v>0</v>
      </c>
      <c r="Z38" s="44">
        <f>65.19</f>
        <v>65.19</v>
      </c>
      <c r="AA38" s="44">
        <f>125</f>
        <v>125</v>
      </c>
      <c r="AB38" s="44">
        <f t="shared" si="39"/>
        <v>-59.81</v>
      </c>
      <c r="AC38" s="45">
        <f t="shared" si="40"/>
        <v>0.52151999999999998</v>
      </c>
      <c r="AD38" s="44">
        <f>8.99</f>
        <v>8.99</v>
      </c>
      <c r="AE38" s="44">
        <f>125</f>
        <v>125</v>
      </c>
      <c r="AF38" s="44">
        <f t="shared" si="41"/>
        <v>-116.01</v>
      </c>
      <c r="AG38" s="45">
        <f t="shared" si="42"/>
        <v>7.1919999999999998E-2</v>
      </c>
      <c r="AH38" s="43"/>
      <c r="AI38" s="44">
        <f>125</f>
        <v>125</v>
      </c>
      <c r="AJ38" s="44">
        <f t="shared" si="43"/>
        <v>-125</v>
      </c>
      <c r="AK38" s="45">
        <f t="shared" si="44"/>
        <v>0</v>
      </c>
      <c r="AL38" s="43"/>
      <c r="AM38" s="44">
        <f>125</f>
        <v>125</v>
      </c>
      <c r="AN38" s="44">
        <f t="shared" si="45"/>
        <v>-125</v>
      </c>
      <c r="AO38" s="45">
        <f t="shared" si="46"/>
        <v>0</v>
      </c>
      <c r="AP38" s="43"/>
      <c r="AQ38" s="44">
        <f>125</f>
        <v>125</v>
      </c>
      <c r="AR38" s="44">
        <f t="shared" si="47"/>
        <v>-125</v>
      </c>
      <c r="AS38" s="45">
        <f t="shared" si="48"/>
        <v>0</v>
      </c>
      <c r="AT38" s="43"/>
      <c r="AU38" s="44">
        <f>125</f>
        <v>125</v>
      </c>
      <c r="AV38" s="44">
        <f t="shared" si="49"/>
        <v>-125</v>
      </c>
      <c r="AW38" s="45">
        <f t="shared" si="50"/>
        <v>0</v>
      </c>
      <c r="AX38" s="44">
        <f t="shared" si="51"/>
        <v>593.97</v>
      </c>
      <c r="AY38" s="44">
        <f t="shared" si="51"/>
        <v>1500</v>
      </c>
      <c r="AZ38" s="44">
        <f t="shared" si="52"/>
        <v>-906.03</v>
      </c>
      <c r="BA38" s="45">
        <f t="shared" si="53"/>
        <v>0.39598</v>
      </c>
    </row>
    <row r="39" spans="1:53" x14ac:dyDescent="0.3">
      <c r="A39" s="42" t="s">
        <v>150</v>
      </c>
      <c r="B39" s="44">
        <f>316.08</f>
        <v>316.08</v>
      </c>
      <c r="C39" s="44">
        <f>333.33</f>
        <v>333.33</v>
      </c>
      <c r="D39" s="44">
        <f t="shared" si="27"/>
        <v>-17.25</v>
      </c>
      <c r="E39" s="45">
        <f t="shared" si="28"/>
        <v>0.94824948249482499</v>
      </c>
      <c r="F39" s="44">
        <f>371.86</f>
        <v>371.86</v>
      </c>
      <c r="G39" s="44">
        <f>333.33</f>
        <v>333.33</v>
      </c>
      <c r="H39" s="44">
        <f t="shared" si="29"/>
        <v>38.53000000000003</v>
      </c>
      <c r="I39" s="45">
        <f t="shared" si="30"/>
        <v>1.1155911559115592</v>
      </c>
      <c r="J39" s="44">
        <f>276.64</f>
        <v>276.64</v>
      </c>
      <c r="K39" s="44">
        <f>333.33</f>
        <v>333.33</v>
      </c>
      <c r="L39" s="44">
        <f t="shared" si="31"/>
        <v>-56.69</v>
      </c>
      <c r="M39" s="45">
        <f t="shared" si="32"/>
        <v>0.82992829928299283</v>
      </c>
      <c r="N39" s="44">
        <f>275.45</f>
        <v>275.45</v>
      </c>
      <c r="O39" s="44">
        <f>333.33</f>
        <v>333.33</v>
      </c>
      <c r="P39" s="44">
        <f t="shared" si="33"/>
        <v>-57.879999999999995</v>
      </c>
      <c r="Q39" s="45">
        <f t="shared" si="34"/>
        <v>0.82635826358263587</v>
      </c>
      <c r="R39" s="44">
        <f>251.15</f>
        <v>251.15</v>
      </c>
      <c r="S39" s="44">
        <f>333.33</f>
        <v>333.33</v>
      </c>
      <c r="T39" s="44">
        <f t="shared" si="35"/>
        <v>-82.179999999999978</v>
      </c>
      <c r="U39" s="45">
        <f t="shared" si="36"/>
        <v>0.75345753457534581</v>
      </c>
      <c r="V39" s="44">
        <f>113.2</f>
        <v>113.2</v>
      </c>
      <c r="W39" s="44">
        <f>333.33</f>
        <v>333.33</v>
      </c>
      <c r="X39" s="44">
        <f t="shared" si="37"/>
        <v>-220.13</v>
      </c>
      <c r="Y39" s="45">
        <f t="shared" si="38"/>
        <v>0.33960339603396039</v>
      </c>
      <c r="Z39" s="44">
        <f>295.38</f>
        <v>295.38</v>
      </c>
      <c r="AA39" s="44">
        <f>333.33</f>
        <v>333.33</v>
      </c>
      <c r="AB39" s="44">
        <f t="shared" si="39"/>
        <v>-37.949999999999989</v>
      </c>
      <c r="AC39" s="45">
        <f t="shared" si="40"/>
        <v>0.88614886148861494</v>
      </c>
      <c r="AD39" s="44">
        <f>262.4</f>
        <v>262.39999999999998</v>
      </c>
      <c r="AE39" s="44">
        <f>333.33</f>
        <v>333.33</v>
      </c>
      <c r="AF39" s="44">
        <f t="shared" si="41"/>
        <v>-70.930000000000007</v>
      </c>
      <c r="AG39" s="45">
        <f t="shared" si="42"/>
        <v>0.78720787207872078</v>
      </c>
      <c r="AH39" s="43"/>
      <c r="AI39" s="44">
        <f>333.33</f>
        <v>333.33</v>
      </c>
      <c r="AJ39" s="44">
        <f t="shared" si="43"/>
        <v>-333.33</v>
      </c>
      <c r="AK39" s="45">
        <f t="shared" si="44"/>
        <v>0</v>
      </c>
      <c r="AL39" s="43"/>
      <c r="AM39" s="44">
        <f>333.33</f>
        <v>333.33</v>
      </c>
      <c r="AN39" s="44">
        <f t="shared" si="45"/>
        <v>-333.33</v>
      </c>
      <c r="AO39" s="45">
        <f t="shared" si="46"/>
        <v>0</v>
      </c>
      <c r="AP39" s="43"/>
      <c r="AQ39" s="44">
        <f>333.33</f>
        <v>333.33</v>
      </c>
      <c r="AR39" s="44">
        <f t="shared" si="47"/>
        <v>-333.33</v>
      </c>
      <c r="AS39" s="45">
        <f t="shared" si="48"/>
        <v>0</v>
      </c>
      <c r="AT39" s="43"/>
      <c r="AU39" s="44">
        <f>333.37</f>
        <v>333.37</v>
      </c>
      <c r="AV39" s="44">
        <f t="shared" si="49"/>
        <v>-333.37</v>
      </c>
      <c r="AW39" s="45">
        <f t="shared" si="50"/>
        <v>0</v>
      </c>
      <c r="AX39" s="44">
        <f t="shared" si="51"/>
        <v>2162.1600000000003</v>
      </c>
      <c r="AY39" s="44">
        <f t="shared" si="51"/>
        <v>3999.9999999999995</v>
      </c>
      <c r="AZ39" s="44">
        <f t="shared" si="52"/>
        <v>-1837.8399999999992</v>
      </c>
      <c r="BA39" s="45">
        <f t="shared" si="53"/>
        <v>0.54054000000000013</v>
      </c>
    </row>
    <row r="40" spans="1:53" x14ac:dyDescent="0.3">
      <c r="A40" s="42" t="s">
        <v>151</v>
      </c>
      <c r="B40" s="44">
        <f>32.23</f>
        <v>32.229999999999997</v>
      </c>
      <c r="C40" s="44">
        <f>125</f>
        <v>125</v>
      </c>
      <c r="D40" s="44">
        <f t="shared" si="27"/>
        <v>-92.77000000000001</v>
      </c>
      <c r="E40" s="45">
        <f t="shared" si="28"/>
        <v>0.25783999999999996</v>
      </c>
      <c r="F40" s="44">
        <f>128.95</f>
        <v>128.94999999999999</v>
      </c>
      <c r="G40" s="44">
        <f>125</f>
        <v>125</v>
      </c>
      <c r="H40" s="44">
        <f t="shared" si="29"/>
        <v>3.9499999999999886</v>
      </c>
      <c r="I40" s="45">
        <f t="shared" si="30"/>
        <v>1.0315999999999999</v>
      </c>
      <c r="J40" s="43"/>
      <c r="K40" s="44">
        <f>125</f>
        <v>125</v>
      </c>
      <c r="L40" s="44">
        <f t="shared" si="31"/>
        <v>-125</v>
      </c>
      <c r="M40" s="45">
        <f t="shared" si="32"/>
        <v>0</v>
      </c>
      <c r="N40" s="43"/>
      <c r="O40" s="44">
        <f>125</f>
        <v>125</v>
      </c>
      <c r="P40" s="44">
        <f t="shared" si="33"/>
        <v>-125</v>
      </c>
      <c r="Q40" s="45">
        <f t="shared" si="34"/>
        <v>0</v>
      </c>
      <c r="R40" s="44">
        <f>17.24</f>
        <v>17.239999999999998</v>
      </c>
      <c r="S40" s="44">
        <f>125</f>
        <v>125</v>
      </c>
      <c r="T40" s="44">
        <f t="shared" si="35"/>
        <v>-107.76</v>
      </c>
      <c r="U40" s="45">
        <f t="shared" si="36"/>
        <v>0.13791999999999999</v>
      </c>
      <c r="V40" s="44">
        <f>290.12</f>
        <v>290.12</v>
      </c>
      <c r="W40" s="44">
        <f>125</f>
        <v>125</v>
      </c>
      <c r="X40" s="44">
        <f t="shared" si="37"/>
        <v>165.12</v>
      </c>
      <c r="Y40" s="45">
        <f t="shared" si="38"/>
        <v>2.3209599999999999</v>
      </c>
      <c r="Z40" s="44">
        <f>239.95</f>
        <v>239.95</v>
      </c>
      <c r="AA40" s="44">
        <f>125</f>
        <v>125</v>
      </c>
      <c r="AB40" s="44">
        <f t="shared" si="39"/>
        <v>114.94999999999999</v>
      </c>
      <c r="AC40" s="45">
        <f t="shared" si="40"/>
        <v>1.9196</v>
      </c>
      <c r="AD40" s="43"/>
      <c r="AE40" s="44">
        <f>125</f>
        <v>125</v>
      </c>
      <c r="AF40" s="44">
        <f t="shared" si="41"/>
        <v>-125</v>
      </c>
      <c r="AG40" s="45">
        <f t="shared" si="42"/>
        <v>0</v>
      </c>
      <c r="AH40" s="43"/>
      <c r="AI40" s="44">
        <f>125</f>
        <v>125</v>
      </c>
      <c r="AJ40" s="44">
        <f t="shared" si="43"/>
        <v>-125</v>
      </c>
      <c r="AK40" s="45">
        <f t="shared" si="44"/>
        <v>0</v>
      </c>
      <c r="AL40" s="43"/>
      <c r="AM40" s="44">
        <f>125</f>
        <v>125</v>
      </c>
      <c r="AN40" s="44">
        <f t="shared" si="45"/>
        <v>-125</v>
      </c>
      <c r="AO40" s="45">
        <f t="shared" si="46"/>
        <v>0</v>
      </c>
      <c r="AP40" s="43"/>
      <c r="AQ40" s="44">
        <f>125</f>
        <v>125</v>
      </c>
      <c r="AR40" s="44">
        <f t="shared" si="47"/>
        <v>-125</v>
      </c>
      <c r="AS40" s="45">
        <f t="shared" si="48"/>
        <v>0</v>
      </c>
      <c r="AT40" s="43"/>
      <c r="AU40" s="44">
        <f>125</f>
        <v>125</v>
      </c>
      <c r="AV40" s="44">
        <f t="shared" si="49"/>
        <v>-125</v>
      </c>
      <c r="AW40" s="45">
        <f t="shared" si="50"/>
        <v>0</v>
      </c>
      <c r="AX40" s="44">
        <f t="shared" si="51"/>
        <v>708.49</v>
      </c>
      <c r="AY40" s="44">
        <f t="shared" si="51"/>
        <v>1500</v>
      </c>
      <c r="AZ40" s="44">
        <f t="shared" si="52"/>
        <v>-791.51</v>
      </c>
      <c r="BA40" s="45">
        <f t="shared" si="53"/>
        <v>0.47232666666666667</v>
      </c>
    </row>
    <row r="41" spans="1:53" x14ac:dyDescent="0.3">
      <c r="A41" s="42" t="s">
        <v>152</v>
      </c>
      <c r="B41" s="46">
        <f>((((B36)+(B37))+(B38))+(B39))+(B40)</f>
        <v>949.19</v>
      </c>
      <c r="C41" s="46">
        <f>((((C36)+(C37))+(C38))+(C39))+(C40)</f>
        <v>1000</v>
      </c>
      <c r="D41" s="46">
        <f t="shared" si="27"/>
        <v>-50.809999999999945</v>
      </c>
      <c r="E41" s="47">
        <f t="shared" si="28"/>
        <v>0.94919000000000009</v>
      </c>
      <c r="F41" s="46">
        <f>((((F36)+(F37))+(F38))+(F39))+(F40)</f>
        <v>842.73</v>
      </c>
      <c r="G41" s="46">
        <f>((((G36)+(G37))+(G38))+(G39))+(G40)</f>
        <v>1000</v>
      </c>
      <c r="H41" s="46">
        <f t="shared" si="29"/>
        <v>-157.26999999999998</v>
      </c>
      <c r="I41" s="47">
        <f t="shared" si="30"/>
        <v>0.84272999999999998</v>
      </c>
      <c r="J41" s="46">
        <f>((((J36)+(J37))+(J38))+(J39))+(J40)</f>
        <v>981.37</v>
      </c>
      <c r="K41" s="46">
        <f>((((K36)+(K37))+(K38))+(K39))+(K40)</f>
        <v>1000</v>
      </c>
      <c r="L41" s="46">
        <f t="shared" si="31"/>
        <v>-18.629999999999995</v>
      </c>
      <c r="M41" s="47">
        <f t="shared" si="32"/>
        <v>0.98136999999999996</v>
      </c>
      <c r="N41" s="46">
        <f>((((N36)+(N37))+(N38))+(N39))+(N40)</f>
        <v>723.33999999999992</v>
      </c>
      <c r="O41" s="46">
        <f>((((O36)+(O37))+(O38))+(O39))+(O40)</f>
        <v>1000</v>
      </c>
      <c r="P41" s="46">
        <f t="shared" si="33"/>
        <v>-276.66000000000008</v>
      </c>
      <c r="Q41" s="47">
        <f t="shared" si="34"/>
        <v>0.72333999999999987</v>
      </c>
      <c r="R41" s="46">
        <f>((((R36)+(R37))+(R38))+(R39))+(R40)</f>
        <v>722.29</v>
      </c>
      <c r="S41" s="46">
        <f>((((S36)+(S37))+(S38))+(S39))+(S40)</f>
        <v>1000</v>
      </c>
      <c r="T41" s="46">
        <f t="shared" si="35"/>
        <v>-277.71000000000004</v>
      </c>
      <c r="U41" s="47">
        <f t="shared" si="36"/>
        <v>0.72228999999999999</v>
      </c>
      <c r="V41" s="46">
        <f>((((V36)+(V37))+(V38))+(V39))+(V40)</f>
        <v>808.23</v>
      </c>
      <c r="W41" s="46">
        <f>((((W36)+(W37))+(W38))+(W39))+(W40)</f>
        <v>1000</v>
      </c>
      <c r="X41" s="46">
        <f t="shared" si="37"/>
        <v>-191.76999999999998</v>
      </c>
      <c r="Y41" s="47">
        <f t="shared" si="38"/>
        <v>0.80823</v>
      </c>
      <c r="Z41" s="46">
        <f>((((Z36)+(Z37))+(Z38))+(Z39))+(Z40)</f>
        <v>916.46</v>
      </c>
      <c r="AA41" s="46">
        <f>((((AA36)+(AA37))+(AA38))+(AA39))+(AA40)</f>
        <v>1000</v>
      </c>
      <c r="AB41" s="46">
        <f t="shared" si="39"/>
        <v>-83.539999999999964</v>
      </c>
      <c r="AC41" s="47">
        <f t="shared" si="40"/>
        <v>0.91646000000000005</v>
      </c>
      <c r="AD41" s="46">
        <f>((((AD36)+(AD37))+(AD38))+(AD39))+(AD40)</f>
        <v>762.29</v>
      </c>
      <c r="AE41" s="46">
        <f>((((AE36)+(AE37))+(AE38))+(AE39))+(AE40)</f>
        <v>1000</v>
      </c>
      <c r="AF41" s="46">
        <f t="shared" si="41"/>
        <v>-237.71000000000004</v>
      </c>
      <c r="AG41" s="47">
        <f t="shared" si="42"/>
        <v>0.76228999999999991</v>
      </c>
      <c r="AH41" s="46">
        <f>((((AH36)+(AH37))+(AH38))+(AH39))+(AH40)</f>
        <v>0</v>
      </c>
      <c r="AI41" s="46">
        <f>((((AI36)+(AI37))+(AI38))+(AI39))+(AI40)</f>
        <v>1000</v>
      </c>
      <c r="AJ41" s="46">
        <f t="shared" si="43"/>
        <v>-1000</v>
      </c>
      <c r="AK41" s="47">
        <f t="shared" si="44"/>
        <v>0</v>
      </c>
      <c r="AL41" s="46">
        <f>((((AL36)+(AL37))+(AL38))+(AL39))+(AL40)</f>
        <v>0</v>
      </c>
      <c r="AM41" s="46">
        <f>((((AM36)+(AM37))+(AM38))+(AM39))+(AM40)</f>
        <v>1000</v>
      </c>
      <c r="AN41" s="46">
        <f t="shared" si="45"/>
        <v>-1000</v>
      </c>
      <c r="AO41" s="47">
        <f t="shared" si="46"/>
        <v>0</v>
      </c>
      <c r="AP41" s="46">
        <f>((((AP36)+(AP37))+(AP38))+(AP39))+(AP40)</f>
        <v>0</v>
      </c>
      <c r="AQ41" s="46">
        <f>((((AQ36)+(AQ37))+(AQ38))+(AQ39))+(AQ40)</f>
        <v>1000</v>
      </c>
      <c r="AR41" s="46">
        <f t="shared" si="47"/>
        <v>-1000</v>
      </c>
      <c r="AS41" s="47">
        <f t="shared" si="48"/>
        <v>0</v>
      </c>
      <c r="AT41" s="46">
        <f>((((AT36)+(AT37))+(AT38))+(AT39))+(AT40)</f>
        <v>0</v>
      </c>
      <c r="AU41" s="46">
        <f>((((AU36)+(AU37))+(AU38))+(AU39))+(AU40)</f>
        <v>1000</v>
      </c>
      <c r="AV41" s="46">
        <f t="shared" si="49"/>
        <v>-1000</v>
      </c>
      <c r="AW41" s="47">
        <f t="shared" si="50"/>
        <v>0</v>
      </c>
      <c r="AX41" s="46">
        <f t="shared" si="51"/>
        <v>6705.9</v>
      </c>
      <c r="AY41" s="46">
        <f t="shared" si="51"/>
        <v>12000</v>
      </c>
      <c r="AZ41" s="46">
        <f t="shared" si="52"/>
        <v>-5294.1</v>
      </c>
      <c r="BA41" s="47">
        <f t="shared" si="53"/>
        <v>0.55882500000000002</v>
      </c>
    </row>
    <row r="42" spans="1:53" x14ac:dyDescent="0.3">
      <c r="A42" s="42" t="s">
        <v>153</v>
      </c>
      <c r="B42" s="43"/>
      <c r="C42" s="43"/>
      <c r="D42" s="44">
        <f t="shared" si="27"/>
        <v>0</v>
      </c>
      <c r="E42" s="45" t="str">
        <f t="shared" si="28"/>
        <v/>
      </c>
      <c r="F42" s="43"/>
      <c r="G42" s="43"/>
      <c r="H42" s="44">
        <f t="shared" si="29"/>
        <v>0</v>
      </c>
      <c r="I42" s="45" t="str">
        <f t="shared" si="30"/>
        <v/>
      </c>
      <c r="J42" s="43"/>
      <c r="K42" s="43"/>
      <c r="L42" s="44">
        <f t="shared" si="31"/>
        <v>0</v>
      </c>
      <c r="M42" s="45" t="str">
        <f t="shared" si="32"/>
        <v/>
      </c>
      <c r="N42" s="43"/>
      <c r="O42" s="43"/>
      <c r="P42" s="44">
        <f t="shared" si="33"/>
        <v>0</v>
      </c>
      <c r="Q42" s="45" t="str">
        <f t="shared" si="34"/>
        <v/>
      </c>
      <c r="R42" s="43"/>
      <c r="S42" s="43"/>
      <c r="T42" s="44">
        <f t="shared" si="35"/>
        <v>0</v>
      </c>
      <c r="U42" s="45" t="str">
        <f t="shared" si="36"/>
        <v/>
      </c>
      <c r="V42" s="43"/>
      <c r="W42" s="43"/>
      <c r="X42" s="44">
        <f t="shared" si="37"/>
        <v>0</v>
      </c>
      <c r="Y42" s="45" t="str">
        <f t="shared" si="38"/>
        <v/>
      </c>
      <c r="Z42" s="43"/>
      <c r="AA42" s="43"/>
      <c r="AB42" s="44">
        <f t="shared" si="39"/>
        <v>0</v>
      </c>
      <c r="AC42" s="45" t="str">
        <f t="shared" si="40"/>
        <v/>
      </c>
      <c r="AD42" s="43"/>
      <c r="AE42" s="43"/>
      <c r="AF42" s="44">
        <f t="shared" si="41"/>
        <v>0</v>
      </c>
      <c r="AG42" s="45" t="str">
        <f t="shared" si="42"/>
        <v/>
      </c>
      <c r="AH42" s="43"/>
      <c r="AI42" s="43"/>
      <c r="AJ42" s="44">
        <f t="shared" si="43"/>
        <v>0</v>
      </c>
      <c r="AK42" s="45" t="str">
        <f t="shared" si="44"/>
        <v/>
      </c>
      <c r="AL42" s="43"/>
      <c r="AM42" s="43"/>
      <c r="AN42" s="44">
        <f t="shared" si="45"/>
        <v>0</v>
      </c>
      <c r="AO42" s="45" t="str">
        <f t="shared" si="46"/>
        <v/>
      </c>
      <c r="AP42" s="43"/>
      <c r="AQ42" s="43"/>
      <c r="AR42" s="44">
        <f t="shared" si="47"/>
        <v>0</v>
      </c>
      <c r="AS42" s="45" t="str">
        <f t="shared" si="48"/>
        <v/>
      </c>
      <c r="AT42" s="43"/>
      <c r="AU42" s="43"/>
      <c r="AV42" s="44">
        <f t="shared" si="49"/>
        <v>0</v>
      </c>
      <c r="AW42" s="45" t="str">
        <f t="shared" si="50"/>
        <v/>
      </c>
      <c r="AX42" s="44">
        <f t="shared" si="51"/>
        <v>0</v>
      </c>
      <c r="AY42" s="44">
        <f t="shared" si="51"/>
        <v>0</v>
      </c>
      <c r="AZ42" s="44">
        <f t="shared" si="52"/>
        <v>0</v>
      </c>
      <c r="BA42" s="45" t="str">
        <f t="shared" si="53"/>
        <v/>
      </c>
    </row>
    <row r="43" spans="1:53" x14ac:dyDescent="0.3">
      <c r="A43" s="42" t="s">
        <v>154</v>
      </c>
      <c r="B43" s="44">
        <f>3000</f>
        <v>3000</v>
      </c>
      <c r="C43" s="44">
        <f>833.33</f>
        <v>833.33</v>
      </c>
      <c r="D43" s="44">
        <f t="shared" si="27"/>
        <v>2166.67</v>
      </c>
      <c r="E43" s="45">
        <f t="shared" si="28"/>
        <v>3.6000144000576002</v>
      </c>
      <c r="F43" s="43"/>
      <c r="G43" s="44">
        <f>833.33</f>
        <v>833.33</v>
      </c>
      <c r="H43" s="44">
        <f t="shared" si="29"/>
        <v>-833.33</v>
      </c>
      <c r="I43" s="45">
        <f t="shared" si="30"/>
        <v>0</v>
      </c>
      <c r="J43" s="43"/>
      <c r="K43" s="44">
        <f>833.33</f>
        <v>833.33</v>
      </c>
      <c r="L43" s="44">
        <f t="shared" si="31"/>
        <v>-833.33</v>
      </c>
      <c r="M43" s="45">
        <f t="shared" si="32"/>
        <v>0</v>
      </c>
      <c r="N43" s="43"/>
      <c r="O43" s="44">
        <f>833.33</f>
        <v>833.33</v>
      </c>
      <c r="P43" s="44">
        <f t="shared" si="33"/>
        <v>-833.33</v>
      </c>
      <c r="Q43" s="45">
        <f t="shared" si="34"/>
        <v>0</v>
      </c>
      <c r="R43" s="43"/>
      <c r="S43" s="44">
        <f>833.33</f>
        <v>833.33</v>
      </c>
      <c r="T43" s="44">
        <f t="shared" si="35"/>
        <v>-833.33</v>
      </c>
      <c r="U43" s="45">
        <f t="shared" si="36"/>
        <v>0</v>
      </c>
      <c r="V43" s="43"/>
      <c r="W43" s="44">
        <f>833.33</f>
        <v>833.33</v>
      </c>
      <c r="X43" s="44">
        <f t="shared" si="37"/>
        <v>-833.33</v>
      </c>
      <c r="Y43" s="45">
        <f t="shared" si="38"/>
        <v>0</v>
      </c>
      <c r="Z43" s="43"/>
      <c r="AA43" s="44">
        <f>833.33</f>
        <v>833.33</v>
      </c>
      <c r="AB43" s="44">
        <f t="shared" si="39"/>
        <v>-833.33</v>
      </c>
      <c r="AC43" s="45">
        <f t="shared" si="40"/>
        <v>0</v>
      </c>
      <c r="AD43" s="43"/>
      <c r="AE43" s="44">
        <f>833.33</f>
        <v>833.33</v>
      </c>
      <c r="AF43" s="44">
        <f t="shared" si="41"/>
        <v>-833.33</v>
      </c>
      <c r="AG43" s="45">
        <f t="shared" si="42"/>
        <v>0</v>
      </c>
      <c r="AH43" s="43"/>
      <c r="AI43" s="44">
        <f>833.33</f>
        <v>833.33</v>
      </c>
      <c r="AJ43" s="44">
        <f t="shared" si="43"/>
        <v>-833.33</v>
      </c>
      <c r="AK43" s="45">
        <f t="shared" si="44"/>
        <v>0</v>
      </c>
      <c r="AL43" s="43"/>
      <c r="AM43" s="44">
        <f>833.33</f>
        <v>833.33</v>
      </c>
      <c r="AN43" s="44">
        <f t="shared" si="45"/>
        <v>-833.33</v>
      </c>
      <c r="AO43" s="45">
        <f t="shared" si="46"/>
        <v>0</v>
      </c>
      <c r="AP43" s="43"/>
      <c r="AQ43" s="44">
        <f>833.33</f>
        <v>833.33</v>
      </c>
      <c r="AR43" s="44">
        <f t="shared" si="47"/>
        <v>-833.33</v>
      </c>
      <c r="AS43" s="45">
        <f t="shared" si="48"/>
        <v>0</v>
      </c>
      <c r="AT43" s="43"/>
      <c r="AU43" s="44">
        <f>833.37</f>
        <v>833.37</v>
      </c>
      <c r="AV43" s="44">
        <f t="shared" si="49"/>
        <v>-833.37</v>
      </c>
      <c r="AW43" s="45">
        <f t="shared" si="50"/>
        <v>0</v>
      </c>
      <c r="AX43" s="44">
        <f t="shared" si="51"/>
        <v>3000</v>
      </c>
      <c r="AY43" s="44">
        <f t="shared" si="51"/>
        <v>10000.000000000002</v>
      </c>
      <c r="AZ43" s="44">
        <f t="shared" si="52"/>
        <v>-7000.0000000000018</v>
      </c>
      <c r="BA43" s="45">
        <f t="shared" si="53"/>
        <v>0.29999999999999993</v>
      </c>
    </row>
    <row r="44" spans="1:53" x14ac:dyDescent="0.3">
      <c r="A44" s="42" t="s">
        <v>155</v>
      </c>
      <c r="B44" s="46">
        <f>(B42)+(B43)</f>
        <v>3000</v>
      </c>
      <c r="C44" s="46">
        <f>(C42)+(C43)</f>
        <v>833.33</v>
      </c>
      <c r="D44" s="46">
        <f t="shared" si="27"/>
        <v>2166.67</v>
      </c>
      <c r="E44" s="47">
        <f t="shared" si="28"/>
        <v>3.6000144000576002</v>
      </c>
      <c r="F44" s="46">
        <f>(F42)+(F43)</f>
        <v>0</v>
      </c>
      <c r="G44" s="46">
        <f>(G42)+(G43)</f>
        <v>833.33</v>
      </c>
      <c r="H44" s="46">
        <f t="shared" si="29"/>
        <v>-833.33</v>
      </c>
      <c r="I44" s="47">
        <f t="shared" si="30"/>
        <v>0</v>
      </c>
      <c r="J44" s="46">
        <f>(J42)+(J43)</f>
        <v>0</v>
      </c>
      <c r="K44" s="46">
        <f>(K42)+(K43)</f>
        <v>833.33</v>
      </c>
      <c r="L44" s="46">
        <f t="shared" si="31"/>
        <v>-833.33</v>
      </c>
      <c r="M44" s="47">
        <f t="shared" si="32"/>
        <v>0</v>
      </c>
      <c r="N44" s="46">
        <f>(N42)+(N43)</f>
        <v>0</v>
      </c>
      <c r="O44" s="46">
        <f>(O42)+(O43)</f>
        <v>833.33</v>
      </c>
      <c r="P44" s="46">
        <f t="shared" si="33"/>
        <v>-833.33</v>
      </c>
      <c r="Q44" s="47">
        <f t="shared" si="34"/>
        <v>0</v>
      </c>
      <c r="R44" s="46">
        <f>(R42)+(R43)</f>
        <v>0</v>
      </c>
      <c r="S44" s="46">
        <f>(S42)+(S43)</f>
        <v>833.33</v>
      </c>
      <c r="T44" s="46">
        <f t="shared" si="35"/>
        <v>-833.33</v>
      </c>
      <c r="U44" s="47">
        <f t="shared" si="36"/>
        <v>0</v>
      </c>
      <c r="V44" s="46">
        <f>(V42)+(V43)</f>
        <v>0</v>
      </c>
      <c r="W44" s="46">
        <f>(W42)+(W43)</f>
        <v>833.33</v>
      </c>
      <c r="X44" s="46">
        <f t="shared" si="37"/>
        <v>-833.33</v>
      </c>
      <c r="Y44" s="47">
        <f t="shared" si="38"/>
        <v>0</v>
      </c>
      <c r="Z44" s="46">
        <f>(Z42)+(Z43)</f>
        <v>0</v>
      </c>
      <c r="AA44" s="46">
        <f>(AA42)+(AA43)</f>
        <v>833.33</v>
      </c>
      <c r="AB44" s="46">
        <f t="shared" si="39"/>
        <v>-833.33</v>
      </c>
      <c r="AC44" s="47">
        <f t="shared" si="40"/>
        <v>0</v>
      </c>
      <c r="AD44" s="46">
        <f>(AD42)+(AD43)</f>
        <v>0</v>
      </c>
      <c r="AE44" s="46">
        <f>(AE42)+(AE43)</f>
        <v>833.33</v>
      </c>
      <c r="AF44" s="46">
        <f t="shared" si="41"/>
        <v>-833.33</v>
      </c>
      <c r="AG44" s="47">
        <f t="shared" si="42"/>
        <v>0</v>
      </c>
      <c r="AH44" s="46">
        <f>(AH42)+(AH43)</f>
        <v>0</v>
      </c>
      <c r="AI44" s="46">
        <f>(AI42)+(AI43)</f>
        <v>833.33</v>
      </c>
      <c r="AJ44" s="46">
        <f t="shared" si="43"/>
        <v>-833.33</v>
      </c>
      <c r="AK44" s="47">
        <f t="shared" si="44"/>
        <v>0</v>
      </c>
      <c r="AL44" s="46">
        <f>(AL42)+(AL43)</f>
        <v>0</v>
      </c>
      <c r="AM44" s="46">
        <f>(AM42)+(AM43)</f>
        <v>833.33</v>
      </c>
      <c r="AN44" s="46">
        <f t="shared" si="45"/>
        <v>-833.33</v>
      </c>
      <c r="AO44" s="47">
        <f t="shared" si="46"/>
        <v>0</v>
      </c>
      <c r="AP44" s="46">
        <f>(AP42)+(AP43)</f>
        <v>0</v>
      </c>
      <c r="AQ44" s="46">
        <f>(AQ42)+(AQ43)</f>
        <v>833.33</v>
      </c>
      <c r="AR44" s="46">
        <f t="shared" si="47"/>
        <v>-833.33</v>
      </c>
      <c r="AS44" s="47">
        <f t="shared" si="48"/>
        <v>0</v>
      </c>
      <c r="AT44" s="46">
        <f>(AT42)+(AT43)</f>
        <v>0</v>
      </c>
      <c r="AU44" s="46">
        <f>(AU42)+(AU43)</f>
        <v>833.37</v>
      </c>
      <c r="AV44" s="46">
        <f t="shared" si="49"/>
        <v>-833.37</v>
      </c>
      <c r="AW44" s="47">
        <f t="shared" si="50"/>
        <v>0</v>
      </c>
      <c r="AX44" s="46">
        <f t="shared" si="51"/>
        <v>3000</v>
      </c>
      <c r="AY44" s="46">
        <f t="shared" si="51"/>
        <v>10000.000000000002</v>
      </c>
      <c r="AZ44" s="46">
        <f t="shared" si="52"/>
        <v>-7000.0000000000018</v>
      </c>
      <c r="BA44" s="47">
        <f t="shared" si="53"/>
        <v>0.29999999999999993</v>
      </c>
    </row>
    <row r="45" spans="1:53" x14ac:dyDescent="0.3">
      <c r="A45" s="42" t="s">
        <v>156</v>
      </c>
      <c r="B45" s="44">
        <f>6800</f>
        <v>6800</v>
      </c>
      <c r="C45" s="44">
        <f>1666.67</f>
        <v>1666.67</v>
      </c>
      <c r="D45" s="44">
        <f t="shared" si="27"/>
        <v>5133.33</v>
      </c>
      <c r="E45" s="45">
        <f t="shared" si="28"/>
        <v>4.0799918400163202</v>
      </c>
      <c r="F45" s="43"/>
      <c r="G45" s="44">
        <f>1666.67</f>
        <v>1666.67</v>
      </c>
      <c r="H45" s="44">
        <f t="shared" si="29"/>
        <v>-1666.67</v>
      </c>
      <c r="I45" s="45">
        <f t="shared" si="30"/>
        <v>0</v>
      </c>
      <c r="J45" s="44">
        <f>257.5</f>
        <v>257.5</v>
      </c>
      <c r="K45" s="44">
        <f>1666.67</f>
        <v>1666.67</v>
      </c>
      <c r="L45" s="44">
        <f t="shared" si="31"/>
        <v>-1409.17</v>
      </c>
      <c r="M45" s="45">
        <f t="shared" si="32"/>
        <v>0.154499691000618</v>
      </c>
      <c r="N45" s="43"/>
      <c r="O45" s="44">
        <f>1666.67</f>
        <v>1666.67</v>
      </c>
      <c r="P45" s="44">
        <f t="shared" si="33"/>
        <v>-1666.67</v>
      </c>
      <c r="Q45" s="45">
        <f t="shared" si="34"/>
        <v>0</v>
      </c>
      <c r="R45" s="43"/>
      <c r="S45" s="44">
        <f>1666.67</f>
        <v>1666.67</v>
      </c>
      <c r="T45" s="44">
        <f t="shared" si="35"/>
        <v>-1666.67</v>
      </c>
      <c r="U45" s="45">
        <f t="shared" si="36"/>
        <v>0</v>
      </c>
      <c r="V45" s="44">
        <f>1755</f>
        <v>1755</v>
      </c>
      <c r="W45" s="44">
        <f>1666.67</f>
        <v>1666.67</v>
      </c>
      <c r="X45" s="44">
        <f t="shared" si="37"/>
        <v>88.329999999999927</v>
      </c>
      <c r="Y45" s="45">
        <f t="shared" si="38"/>
        <v>1.052997894004212</v>
      </c>
      <c r="Z45" s="43"/>
      <c r="AA45" s="44">
        <f>1666.67</f>
        <v>1666.67</v>
      </c>
      <c r="AB45" s="44">
        <f t="shared" si="39"/>
        <v>-1666.67</v>
      </c>
      <c r="AC45" s="45">
        <f t="shared" si="40"/>
        <v>0</v>
      </c>
      <c r="AD45" s="43"/>
      <c r="AE45" s="44">
        <f>1666.67</f>
        <v>1666.67</v>
      </c>
      <c r="AF45" s="44">
        <f t="shared" si="41"/>
        <v>-1666.67</v>
      </c>
      <c r="AG45" s="45">
        <f t="shared" si="42"/>
        <v>0</v>
      </c>
      <c r="AH45" s="43"/>
      <c r="AI45" s="44">
        <f>1666.67</f>
        <v>1666.67</v>
      </c>
      <c r="AJ45" s="44">
        <f t="shared" si="43"/>
        <v>-1666.67</v>
      </c>
      <c r="AK45" s="45">
        <f t="shared" si="44"/>
        <v>0</v>
      </c>
      <c r="AL45" s="43"/>
      <c r="AM45" s="44">
        <f>1666.67</f>
        <v>1666.67</v>
      </c>
      <c r="AN45" s="44">
        <f t="shared" si="45"/>
        <v>-1666.67</v>
      </c>
      <c r="AO45" s="45">
        <f t="shared" si="46"/>
        <v>0</v>
      </c>
      <c r="AP45" s="43"/>
      <c r="AQ45" s="44">
        <f>1666.67</f>
        <v>1666.67</v>
      </c>
      <c r="AR45" s="44">
        <f t="shared" si="47"/>
        <v>-1666.67</v>
      </c>
      <c r="AS45" s="45">
        <f t="shared" si="48"/>
        <v>0</v>
      </c>
      <c r="AT45" s="43"/>
      <c r="AU45" s="44">
        <f>1666.63</f>
        <v>1666.63</v>
      </c>
      <c r="AV45" s="44">
        <f t="shared" si="49"/>
        <v>-1666.63</v>
      </c>
      <c r="AW45" s="45">
        <f t="shared" si="50"/>
        <v>0</v>
      </c>
      <c r="AX45" s="44">
        <f t="shared" si="51"/>
        <v>8812.5</v>
      </c>
      <c r="AY45" s="44">
        <f t="shared" si="51"/>
        <v>20000.000000000004</v>
      </c>
      <c r="AZ45" s="44">
        <f t="shared" si="52"/>
        <v>-11187.500000000004</v>
      </c>
      <c r="BA45" s="45">
        <f t="shared" si="53"/>
        <v>0.44062499999999993</v>
      </c>
    </row>
    <row r="46" spans="1:53" x14ac:dyDescent="0.3">
      <c r="A46" s="42" t="s">
        <v>157</v>
      </c>
      <c r="B46" s="43"/>
      <c r="C46" s="43"/>
      <c r="D46" s="44">
        <f t="shared" si="27"/>
        <v>0</v>
      </c>
      <c r="E46" s="45" t="str">
        <f t="shared" si="28"/>
        <v/>
      </c>
      <c r="F46" s="43"/>
      <c r="G46" s="43"/>
      <c r="H46" s="44">
        <f t="shared" si="29"/>
        <v>0</v>
      </c>
      <c r="I46" s="45" t="str">
        <f t="shared" si="30"/>
        <v/>
      </c>
      <c r="J46" s="43"/>
      <c r="K46" s="43"/>
      <c r="L46" s="44">
        <f t="shared" si="31"/>
        <v>0</v>
      </c>
      <c r="M46" s="45" t="str">
        <f t="shared" si="32"/>
        <v/>
      </c>
      <c r="N46" s="43"/>
      <c r="O46" s="43"/>
      <c r="P46" s="44">
        <f t="shared" si="33"/>
        <v>0</v>
      </c>
      <c r="Q46" s="45" t="str">
        <f t="shared" si="34"/>
        <v/>
      </c>
      <c r="R46" s="43"/>
      <c r="S46" s="43"/>
      <c r="T46" s="44">
        <f t="shared" si="35"/>
        <v>0</v>
      </c>
      <c r="U46" s="45" t="str">
        <f t="shared" si="36"/>
        <v/>
      </c>
      <c r="V46" s="43"/>
      <c r="W46" s="43"/>
      <c r="X46" s="44">
        <f t="shared" si="37"/>
        <v>0</v>
      </c>
      <c r="Y46" s="45" t="str">
        <f t="shared" si="38"/>
        <v/>
      </c>
      <c r="Z46" s="43"/>
      <c r="AA46" s="43"/>
      <c r="AB46" s="44">
        <f t="shared" si="39"/>
        <v>0</v>
      </c>
      <c r="AC46" s="45" t="str">
        <f t="shared" si="40"/>
        <v/>
      </c>
      <c r="AD46" s="43"/>
      <c r="AE46" s="43"/>
      <c r="AF46" s="44">
        <f t="shared" si="41"/>
        <v>0</v>
      </c>
      <c r="AG46" s="45" t="str">
        <f t="shared" si="42"/>
        <v/>
      </c>
      <c r="AH46" s="43"/>
      <c r="AI46" s="43"/>
      <c r="AJ46" s="44">
        <f t="shared" si="43"/>
        <v>0</v>
      </c>
      <c r="AK46" s="45" t="str">
        <f t="shared" si="44"/>
        <v/>
      </c>
      <c r="AL46" s="43"/>
      <c r="AM46" s="43"/>
      <c r="AN46" s="44">
        <f t="shared" si="45"/>
        <v>0</v>
      </c>
      <c r="AO46" s="45" t="str">
        <f t="shared" si="46"/>
        <v/>
      </c>
      <c r="AP46" s="43"/>
      <c r="AQ46" s="43"/>
      <c r="AR46" s="44">
        <f t="shared" si="47"/>
        <v>0</v>
      </c>
      <c r="AS46" s="45" t="str">
        <f t="shared" si="48"/>
        <v/>
      </c>
      <c r="AT46" s="43"/>
      <c r="AU46" s="43"/>
      <c r="AV46" s="44">
        <f t="shared" si="49"/>
        <v>0</v>
      </c>
      <c r="AW46" s="45" t="str">
        <f t="shared" si="50"/>
        <v/>
      </c>
      <c r="AX46" s="44">
        <f t="shared" si="51"/>
        <v>0</v>
      </c>
      <c r="AY46" s="44">
        <f t="shared" si="51"/>
        <v>0</v>
      </c>
      <c r="AZ46" s="44">
        <f t="shared" si="52"/>
        <v>0</v>
      </c>
      <c r="BA46" s="45" t="str">
        <f t="shared" si="53"/>
        <v/>
      </c>
    </row>
    <row r="47" spans="1:53" x14ac:dyDescent="0.3">
      <c r="A47" s="42" t="s">
        <v>158</v>
      </c>
      <c r="B47" s="44">
        <f>1468.45</f>
        <v>1468.45</v>
      </c>
      <c r="C47" s="44">
        <f>1166.67</f>
        <v>1166.67</v>
      </c>
      <c r="D47" s="44">
        <f t="shared" si="27"/>
        <v>301.77999999999997</v>
      </c>
      <c r="E47" s="45">
        <f t="shared" si="28"/>
        <v>1.2586678323776217</v>
      </c>
      <c r="F47" s="44">
        <f>236.41</f>
        <v>236.41</v>
      </c>
      <c r="G47" s="44">
        <f>1166.67</f>
        <v>1166.67</v>
      </c>
      <c r="H47" s="44">
        <f t="shared" si="29"/>
        <v>-930.2600000000001</v>
      </c>
      <c r="I47" s="45">
        <f t="shared" si="30"/>
        <v>0.20263656389553172</v>
      </c>
      <c r="J47" s="44">
        <f>1097.19</f>
        <v>1097.19</v>
      </c>
      <c r="K47" s="44">
        <f>1166.67</f>
        <v>1166.67</v>
      </c>
      <c r="L47" s="44">
        <f t="shared" si="31"/>
        <v>-69.480000000000018</v>
      </c>
      <c r="M47" s="45">
        <f t="shared" si="32"/>
        <v>0.94044588444033017</v>
      </c>
      <c r="N47" s="44">
        <f>1775.73</f>
        <v>1775.73</v>
      </c>
      <c r="O47" s="44">
        <f>1166.67</f>
        <v>1166.67</v>
      </c>
      <c r="P47" s="44">
        <f t="shared" si="33"/>
        <v>609.05999999999995</v>
      </c>
      <c r="Q47" s="45">
        <f t="shared" si="34"/>
        <v>1.5220499370001799</v>
      </c>
      <c r="R47" s="44">
        <f>1034.43</f>
        <v>1034.43</v>
      </c>
      <c r="S47" s="44">
        <f>1166.67</f>
        <v>1166.67</v>
      </c>
      <c r="T47" s="44">
        <f t="shared" si="35"/>
        <v>-132.24</v>
      </c>
      <c r="U47" s="45">
        <f t="shared" si="36"/>
        <v>0.88665175242356453</v>
      </c>
      <c r="V47" s="44">
        <f>1562.55</f>
        <v>1562.55</v>
      </c>
      <c r="W47" s="44">
        <f>1166.67</f>
        <v>1166.67</v>
      </c>
      <c r="X47" s="44">
        <f t="shared" si="37"/>
        <v>395.87999999999988</v>
      </c>
      <c r="Y47" s="45">
        <f t="shared" si="38"/>
        <v>1.3393247447864434</v>
      </c>
      <c r="Z47" s="44">
        <f>1860.34</f>
        <v>1860.34</v>
      </c>
      <c r="AA47" s="44">
        <f>1166.67</f>
        <v>1166.67</v>
      </c>
      <c r="AB47" s="44">
        <f t="shared" si="39"/>
        <v>693.66999999999985</v>
      </c>
      <c r="AC47" s="45">
        <f t="shared" si="40"/>
        <v>1.5945725869354657</v>
      </c>
      <c r="AD47" s="44">
        <f>1183.85</f>
        <v>1183.8499999999999</v>
      </c>
      <c r="AE47" s="44">
        <f>1166.67</f>
        <v>1166.67</v>
      </c>
      <c r="AF47" s="44">
        <f t="shared" si="41"/>
        <v>17.179999999999836</v>
      </c>
      <c r="AG47" s="45">
        <f t="shared" si="42"/>
        <v>1.014725672212365</v>
      </c>
      <c r="AH47" s="43"/>
      <c r="AI47" s="44">
        <f>1166.67</f>
        <v>1166.67</v>
      </c>
      <c r="AJ47" s="44">
        <f t="shared" si="43"/>
        <v>-1166.67</v>
      </c>
      <c r="AK47" s="45">
        <f t="shared" si="44"/>
        <v>0</v>
      </c>
      <c r="AL47" s="43"/>
      <c r="AM47" s="44">
        <f>1166.67</f>
        <v>1166.67</v>
      </c>
      <c r="AN47" s="44">
        <f t="shared" si="45"/>
        <v>-1166.67</v>
      </c>
      <c r="AO47" s="45">
        <f t="shared" si="46"/>
        <v>0</v>
      </c>
      <c r="AP47" s="43"/>
      <c r="AQ47" s="44">
        <f>1166.67</f>
        <v>1166.67</v>
      </c>
      <c r="AR47" s="44">
        <f t="shared" si="47"/>
        <v>-1166.67</v>
      </c>
      <c r="AS47" s="45">
        <f t="shared" si="48"/>
        <v>0</v>
      </c>
      <c r="AT47" s="43"/>
      <c r="AU47" s="44">
        <f>1166.63</f>
        <v>1166.6300000000001</v>
      </c>
      <c r="AV47" s="44">
        <f t="shared" si="49"/>
        <v>-1166.6300000000001</v>
      </c>
      <c r="AW47" s="45">
        <f t="shared" si="50"/>
        <v>0</v>
      </c>
      <c r="AX47" s="44">
        <f t="shared" si="51"/>
        <v>10218.950000000001</v>
      </c>
      <c r="AY47" s="44">
        <f t="shared" si="51"/>
        <v>14000</v>
      </c>
      <c r="AZ47" s="44">
        <f t="shared" si="52"/>
        <v>-3781.0499999999993</v>
      </c>
      <c r="BA47" s="45">
        <f t="shared" si="53"/>
        <v>0.72992500000000005</v>
      </c>
    </row>
    <row r="48" spans="1:53" x14ac:dyDescent="0.3">
      <c r="A48" s="42" t="s">
        <v>159</v>
      </c>
      <c r="B48" s="44">
        <f>1452.2</f>
        <v>1452.2</v>
      </c>
      <c r="C48" s="44">
        <f>1333.33</f>
        <v>1333.33</v>
      </c>
      <c r="D48" s="44">
        <f t="shared" si="27"/>
        <v>118.87000000000012</v>
      </c>
      <c r="E48" s="45">
        <f t="shared" si="28"/>
        <v>1.0891527228818072</v>
      </c>
      <c r="F48" s="44">
        <f>666.46</f>
        <v>666.46</v>
      </c>
      <c r="G48" s="44">
        <f>1333.33</f>
        <v>1333.33</v>
      </c>
      <c r="H48" s="44">
        <f t="shared" si="29"/>
        <v>-666.86999999999989</v>
      </c>
      <c r="I48" s="45">
        <f t="shared" si="30"/>
        <v>0.49984624961562407</v>
      </c>
      <c r="J48" s="44">
        <f>2284.65</f>
        <v>2284.65</v>
      </c>
      <c r="K48" s="44">
        <f>1333.33</f>
        <v>1333.33</v>
      </c>
      <c r="L48" s="44">
        <f t="shared" si="31"/>
        <v>951.32000000000016</v>
      </c>
      <c r="M48" s="45">
        <f t="shared" si="32"/>
        <v>1.7134917837294594</v>
      </c>
      <c r="N48" s="44">
        <f>1039.64</f>
        <v>1039.6400000000001</v>
      </c>
      <c r="O48" s="44">
        <f>1333.33</f>
        <v>1333.33</v>
      </c>
      <c r="P48" s="44">
        <f t="shared" si="33"/>
        <v>-293.68999999999983</v>
      </c>
      <c r="Q48" s="45">
        <f t="shared" si="34"/>
        <v>0.77973194932987344</v>
      </c>
      <c r="R48" s="44">
        <f>1657.42</f>
        <v>1657.42</v>
      </c>
      <c r="S48" s="44">
        <f>1333.33</f>
        <v>1333.33</v>
      </c>
      <c r="T48" s="44">
        <f t="shared" si="35"/>
        <v>324.09000000000015</v>
      </c>
      <c r="U48" s="45">
        <f t="shared" si="36"/>
        <v>1.2430681076702692</v>
      </c>
      <c r="V48" s="44">
        <f>1152.45</f>
        <v>1152.45</v>
      </c>
      <c r="W48" s="44">
        <f>1333.33</f>
        <v>1333.33</v>
      </c>
      <c r="X48" s="44">
        <f t="shared" si="37"/>
        <v>-180.87999999999988</v>
      </c>
      <c r="Y48" s="45">
        <f t="shared" si="38"/>
        <v>0.86433966084915226</v>
      </c>
      <c r="Z48" s="44">
        <f>2523.42</f>
        <v>2523.42</v>
      </c>
      <c r="AA48" s="44">
        <f>1333.33</f>
        <v>1333.33</v>
      </c>
      <c r="AB48" s="44">
        <f t="shared" si="39"/>
        <v>1190.0900000000001</v>
      </c>
      <c r="AC48" s="45">
        <f t="shared" si="40"/>
        <v>1.8925697314243288</v>
      </c>
      <c r="AD48" s="44">
        <f>825.28</f>
        <v>825.28</v>
      </c>
      <c r="AE48" s="44">
        <f>1333.33</f>
        <v>1333.33</v>
      </c>
      <c r="AF48" s="44">
        <f t="shared" si="41"/>
        <v>-508.04999999999995</v>
      </c>
      <c r="AG48" s="45">
        <f t="shared" si="42"/>
        <v>0.61896154740386855</v>
      </c>
      <c r="AH48" s="43"/>
      <c r="AI48" s="44">
        <f>1333.33</f>
        <v>1333.33</v>
      </c>
      <c r="AJ48" s="44">
        <f t="shared" si="43"/>
        <v>-1333.33</v>
      </c>
      <c r="AK48" s="45">
        <f t="shared" si="44"/>
        <v>0</v>
      </c>
      <c r="AL48" s="43"/>
      <c r="AM48" s="44">
        <f>1333.33</f>
        <v>1333.33</v>
      </c>
      <c r="AN48" s="44">
        <f t="shared" si="45"/>
        <v>-1333.33</v>
      </c>
      <c r="AO48" s="45">
        <f t="shared" si="46"/>
        <v>0</v>
      </c>
      <c r="AP48" s="43"/>
      <c r="AQ48" s="44">
        <f>1333.33</f>
        <v>1333.33</v>
      </c>
      <c r="AR48" s="44">
        <f t="shared" si="47"/>
        <v>-1333.33</v>
      </c>
      <c r="AS48" s="45">
        <f t="shared" si="48"/>
        <v>0</v>
      </c>
      <c r="AT48" s="43"/>
      <c r="AU48" s="44">
        <f>1333.37</f>
        <v>1333.37</v>
      </c>
      <c r="AV48" s="44">
        <f t="shared" si="49"/>
        <v>-1333.37</v>
      </c>
      <c r="AW48" s="45">
        <f t="shared" si="50"/>
        <v>0</v>
      </c>
      <c r="AX48" s="44">
        <f t="shared" si="51"/>
        <v>11601.52</v>
      </c>
      <c r="AY48" s="44">
        <f t="shared" si="51"/>
        <v>16000</v>
      </c>
      <c r="AZ48" s="44">
        <f t="shared" si="52"/>
        <v>-4398.4799999999996</v>
      </c>
      <c r="BA48" s="45">
        <f t="shared" si="53"/>
        <v>0.72509500000000005</v>
      </c>
    </row>
    <row r="49" spans="1:53" x14ac:dyDescent="0.3">
      <c r="A49" s="42" t="s">
        <v>160</v>
      </c>
      <c r="B49" s="43"/>
      <c r="C49" s="44">
        <f>458.33</f>
        <v>458.33</v>
      </c>
      <c r="D49" s="44">
        <f t="shared" si="27"/>
        <v>-458.33</v>
      </c>
      <c r="E49" s="45">
        <f t="shared" si="28"/>
        <v>0</v>
      </c>
      <c r="F49" s="43"/>
      <c r="G49" s="44">
        <f>458.33</f>
        <v>458.33</v>
      </c>
      <c r="H49" s="44">
        <f t="shared" si="29"/>
        <v>-458.33</v>
      </c>
      <c r="I49" s="45">
        <f t="shared" si="30"/>
        <v>0</v>
      </c>
      <c r="J49" s="44">
        <f>839.68</f>
        <v>839.68</v>
      </c>
      <c r="K49" s="44">
        <f>458.33</f>
        <v>458.33</v>
      </c>
      <c r="L49" s="44">
        <f t="shared" si="31"/>
        <v>381.34999999999997</v>
      </c>
      <c r="M49" s="45">
        <f t="shared" si="32"/>
        <v>1.8320424148539263</v>
      </c>
      <c r="N49" s="43"/>
      <c r="O49" s="44">
        <f>458.33</f>
        <v>458.33</v>
      </c>
      <c r="P49" s="44">
        <f t="shared" si="33"/>
        <v>-458.33</v>
      </c>
      <c r="Q49" s="45">
        <f t="shared" si="34"/>
        <v>0</v>
      </c>
      <c r="R49" s="44">
        <f>2431.6</f>
        <v>2431.6</v>
      </c>
      <c r="S49" s="44">
        <f>458.33</f>
        <v>458.33</v>
      </c>
      <c r="T49" s="44">
        <f t="shared" si="35"/>
        <v>1973.27</v>
      </c>
      <c r="U49" s="45">
        <f t="shared" si="36"/>
        <v>5.3053476752558204</v>
      </c>
      <c r="V49" s="44">
        <f>1460.95</f>
        <v>1460.95</v>
      </c>
      <c r="W49" s="44">
        <f>458.33</f>
        <v>458.33</v>
      </c>
      <c r="X49" s="44">
        <f t="shared" si="37"/>
        <v>1002.6200000000001</v>
      </c>
      <c r="Y49" s="45">
        <f t="shared" si="38"/>
        <v>3.1875504549123996</v>
      </c>
      <c r="Z49" s="43"/>
      <c r="AA49" s="44">
        <f>458.33</f>
        <v>458.33</v>
      </c>
      <c r="AB49" s="44">
        <f t="shared" si="39"/>
        <v>-458.33</v>
      </c>
      <c r="AC49" s="45">
        <f t="shared" si="40"/>
        <v>0</v>
      </c>
      <c r="AD49" s="44">
        <f>1460.95</f>
        <v>1460.95</v>
      </c>
      <c r="AE49" s="44">
        <f>458.33</f>
        <v>458.33</v>
      </c>
      <c r="AF49" s="44">
        <f t="shared" si="41"/>
        <v>1002.6200000000001</v>
      </c>
      <c r="AG49" s="45">
        <f t="shared" si="42"/>
        <v>3.1875504549123996</v>
      </c>
      <c r="AH49" s="43"/>
      <c r="AI49" s="44">
        <f>458.33</f>
        <v>458.33</v>
      </c>
      <c r="AJ49" s="44">
        <f t="shared" si="43"/>
        <v>-458.33</v>
      </c>
      <c r="AK49" s="45">
        <f t="shared" si="44"/>
        <v>0</v>
      </c>
      <c r="AL49" s="43"/>
      <c r="AM49" s="44">
        <f>458.33</f>
        <v>458.33</v>
      </c>
      <c r="AN49" s="44">
        <f t="shared" si="45"/>
        <v>-458.33</v>
      </c>
      <c r="AO49" s="45">
        <f t="shared" si="46"/>
        <v>0</v>
      </c>
      <c r="AP49" s="43"/>
      <c r="AQ49" s="44">
        <f>458.33</f>
        <v>458.33</v>
      </c>
      <c r="AR49" s="44">
        <f t="shared" si="47"/>
        <v>-458.33</v>
      </c>
      <c r="AS49" s="45">
        <f t="shared" si="48"/>
        <v>0</v>
      </c>
      <c r="AT49" s="43"/>
      <c r="AU49" s="44">
        <f>458.37</f>
        <v>458.37</v>
      </c>
      <c r="AV49" s="44">
        <f t="shared" si="49"/>
        <v>-458.37</v>
      </c>
      <c r="AW49" s="45">
        <f t="shared" si="50"/>
        <v>0</v>
      </c>
      <c r="AX49" s="44">
        <f t="shared" si="51"/>
        <v>6193.1799999999994</v>
      </c>
      <c r="AY49" s="44">
        <f t="shared" si="51"/>
        <v>5500</v>
      </c>
      <c r="AZ49" s="44">
        <f t="shared" si="52"/>
        <v>693.17999999999938</v>
      </c>
      <c r="BA49" s="45">
        <f t="shared" si="53"/>
        <v>1.1260327272727271</v>
      </c>
    </row>
    <row r="50" spans="1:53" x14ac:dyDescent="0.3">
      <c r="A50" s="42" t="s">
        <v>161</v>
      </c>
      <c r="B50" s="46">
        <f>(((B46)+(B47))+(B48))+(B49)</f>
        <v>2920.65</v>
      </c>
      <c r="C50" s="46">
        <f>(((C46)+(C47))+(C48))+(C49)</f>
        <v>2958.33</v>
      </c>
      <c r="D50" s="46">
        <f t="shared" si="27"/>
        <v>-37.679999999999836</v>
      </c>
      <c r="E50" s="47">
        <f t="shared" si="28"/>
        <v>0.98726308424009501</v>
      </c>
      <c r="F50" s="46">
        <f>(((F46)+(F47))+(F48))+(F49)</f>
        <v>902.87</v>
      </c>
      <c r="G50" s="46">
        <f>(((G46)+(G47))+(G48))+(G49)</f>
        <v>2958.33</v>
      </c>
      <c r="H50" s="46">
        <f t="shared" si="29"/>
        <v>-2055.46</v>
      </c>
      <c r="I50" s="47">
        <f t="shared" si="30"/>
        <v>0.30519583684037954</v>
      </c>
      <c r="J50" s="46">
        <f>(((J46)+(J47))+(J48))+(J49)</f>
        <v>4221.5200000000004</v>
      </c>
      <c r="K50" s="46">
        <f>(((K46)+(K47))+(K48))+(K49)</f>
        <v>2958.33</v>
      </c>
      <c r="L50" s="46">
        <f t="shared" si="31"/>
        <v>1263.1900000000005</v>
      </c>
      <c r="M50" s="47">
        <f t="shared" si="32"/>
        <v>1.4269942839372216</v>
      </c>
      <c r="N50" s="46">
        <f>(((N46)+(N47))+(N48))+(N49)</f>
        <v>2815.37</v>
      </c>
      <c r="O50" s="46">
        <f>(((O46)+(O47))+(O48))+(O49)</f>
        <v>2958.33</v>
      </c>
      <c r="P50" s="46">
        <f t="shared" si="33"/>
        <v>-142.96000000000004</v>
      </c>
      <c r="Q50" s="47">
        <f t="shared" si="34"/>
        <v>0.95167543850753633</v>
      </c>
      <c r="R50" s="46">
        <f>(((R46)+(R47))+(R48))+(R49)</f>
        <v>5123.4500000000007</v>
      </c>
      <c r="S50" s="46">
        <f>(((S46)+(S47))+(S48))+(S49)</f>
        <v>2958.33</v>
      </c>
      <c r="T50" s="46">
        <f t="shared" si="35"/>
        <v>2165.1200000000008</v>
      </c>
      <c r="U50" s="47">
        <f t="shared" si="36"/>
        <v>1.7318723739407034</v>
      </c>
      <c r="V50" s="46">
        <f>(((V46)+(V47))+(V48))+(V49)</f>
        <v>4175.95</v>
      </c>
      <c r="W50" s="46">
        <f>(((W46)+(W47))+(W48))+(W49)</f>
        <v>2958.33</v>
      </c>
      <c r="X50" s="46">
        <f t="shared" si="37"/>
        <v>1217.6199999999999</v>
      </c>
      <c r="Y50" s="47">
        <f t="shared" si="38"/>
        <v>1.4115903229186737</v>
      </c>
      <c r="Z50" s="46">
        <f>(((Z46)+(Z47))+(Z48))+(Z49)</f>
        <v>4383.76</v>
      </c>
      <c r="AA50" s="46">
        <f>(((AA46)+(AA47))+(AA48))+(AA49)</f>
        <v>2958.33</v>
      </c>
      <c r="AB50" s="46">
        <f t="shared" si="39"/>
        <v>1425.4300000000003</v>
      </c>
      <c r="AC50" s="47">
        <f t="shared" si="40"/>
        <v>1.4818360358715899</v>
      </c>
      <c r="AD50" s="46">
        <f>(((AD46)+(AD47))+(AD48))+(AD49)</f>
        <v>3470.08</v>
      </c>
      <c r="AE50" s="46">
        <f>(((AE46)+(AE47))+(AE48))+(AE49)</f>
        <v>2958.33</v>
      </c>
      <c r="AF50" s="46">
        <f t="shared" si="41"/>
        <v>511.75</v>
      </c>
      <c r="AG50" s="47">
        <f t="shared" si="42"/>
        <v>1.1729861104068851</v>
      </c>
      <c r="AH50" s="46">
        <f>(((AH46)+(AH47))+(AH48))+(AH49)</f>
        <v>0</v>
      </c>
      <c r="AI50" s="46">
        <f>(((AI46)+(AI47))+(AI48))+(AI49)</f>
        <v>2958.33</v>
      </c>
      <c r="AJ50" s="46">
        <f t="shared" si="43"/>
        <v>-2958.33</v>
      </c>
      <c r="AK50" s="47">
        <f t="shared" si="44"/>
        <v>0</v>
      </c>
      <c r="AL50" s="46">
        <f>(((AL46)+(AL47))+(AL48))+(AL49)</f>
        <v>0</v>
      </c>
      <c r="AM50" s="46">
        <f>(((AM46)+(AM47))+(AM48))+(AM49)</f>
        <v>2958.33</v>
      </c>
      <c r="AN50" s="46">
        <f t="shared" si="45"/>
        <v>-2958.33</v>
      </c>
      <c r="AO50" s="47">
        <f t="shared" si="46"/>
        <v>0</v>
      </c>
      <c r="AP50" s="46">
        <f>(((AP46)+(AP47))+(AP48))+(AP49)</f>
        <v>0</v>
      </c>
      <c r="AQ50" s="46">
        <f>(((AQ46)+(AQ47))+(AQ48))+(AQ49)</f>
        <v>2958.33</v>
      </c>
      <c r="AR50" s="46">
        <f t="shared" si="47"/>
        <v>-2958.33</v>
      </c>
      <c r="AS50" s="47">
        <f t="shared" si="48"/>
        <v>0</v>
      </c>
      <c r="AT50" s="46">
        <f>(((AT46)+(AT47))+(AT48))+(AT49)</f>
        <v>0</v>
      </c>
      <c r="AU50" s="46">
        <f>(((AU46)+(AU47))+(AU48))+(AU49)</f>
        <v>2958.37</v>
      </c>
      <c r="AV50" s="46">
        <f t="shared" si="49"/>
        <v>-2958.37</v>
      </c>
      <c r="AW50" s="47">
        <f t="shared" si="50"/>
        <v>0</v>
      </c>
      <c r="AX50" s="46">
        <f t="shared" si="51"/>
        <v>28013.65</v>
      </c>
      <c r="AY50" s="46">
        <f t="shared" si="51"/>
        <v>35500.000000000007</v>
      </c>
      <c r="AZ50" s="46">
        <f t="shared" si="52"/>
        <v>-7486.3500000000058</v>
      </c>
      <c r="BA50" s="47">
        <f t="shared" si="53"/>
        <v>0.78911690140845059</v>
      </c>
    </row>
    <row r="51" spans="1:53" x14ac:dyDescent="0.3">
      <c r="A51" s="42" t="s">
        <v>162</v>
      </c>
      <c r="B51" s="44">
        <f>4000</f>
        <v>4000</v>
      </c>
      <c r="C51" s="44">
        <f>333.33</f>
        <v>333.33</v>
      </c>
      <c r="D51" s="44">
        <f t="shared" si="27"/>
        <v>3666.67</v>
      </c>
      <c r="E51" s="45">
        <f t="shared" si="28"/>
        <v>12.000120001200013</v>
      </c>
      <c r="F51" s="43"/>
      <c r="G51" s="44">
        <f>333.33</f>
        <v>333.33</v>
      </c>
      <c r="H51" s="44">
        <f t="shared" si="29"/>
        <v>-333.33</v>
      </c>
      <c r="I51" s="45">
        <f t="shared" si="30"/>
        <v>0</v>
      </c>
      <c r="J51" s="43"/>
      <c r="K51" s="44">
        <f>333.33</f>
        <v>333.33</v>
      </c>
      <c r="L51" s="44">
        <f t="shared" si="31"/>
        <v>-333.33</v>
      </c>
      <c r="M51" s="45">
        <f t="shared" si="32"/>
        <v>0</v>
      </c>
      <c r="N51" s="43"/>
      <c r="O51" s="44">
        <f>333.33</f>
        <v>333.33</v>
      </c>
      <c r="P51" s="44">
        <f t="shared" si="33"/>
        <v>-333.33</v>
      </c>
      <c r="Q51" s="45">
        <f t="shared" si="34"/>
        <v>0</v>
      </c>
      <c r="R51" s="43"/>
      <c r="S51" s="44">
        <f>333.33</f>
        <v>333.33</v>
      </c>
      <c r="T51" s="44">
        <f t="shared" si="35"/>
        <v>-333.33</v>
      </c>
      <c r="U51" s="45">
        <f t="shared" si="36"/>
        <v>0</v>
      </c>
      <c r="V51" s="43"/>
      <c r="W51" s="44">
        <f>333.33</f>
        <v>333.33</v>
      </c>
      <c r="X51" s="44">
        <f t="shared" si="37"/>
        <v>-333.33</v>
      </c>
      <c r="Y51" s="45">
        <f t="shared" si="38"/>
        <v>0</v>
      </c>
      <c r="Z51" s="43"/>
      <c r="AA51" s="44">
        <f>333.33</f>
        <v>333.33</v>
      </c>
      <c r="AB51" s="44">
        <f t="shared" si="39"/>
        <v>-333.33</v>
      </c>
      <c r="AC51" s="45">
        <f t="shared" si="40"/>
        <v>0</v>
      </c>
      <c r="AD51" s="43"/>
      <c r="AE51" s="44">
        <f>333.33</f>
        <v>333.33</v>
      </c>
      <c r="AF51" s="44">
        <f t="shared" si="41"/>
        <v>-333.33</v>
      </c>
      <c r="AG51" s="45">
        <f t="shared" si="42"/>
        <v>0</v>
      </c>
      <c r="AH51" s="43"/>
      <c r="AI51" s="44">
        <f>333.33</f>
        <v>333.33</v>
      </c>
      <c r="AJ51" s="44">
        <f t="shared" si="43"/>
        <v>-333.33</v>
      </c>
      <c r="AK51" s="45">
        <f t="shared" si="44"/>
        <v>0</v>
      </c>
      <c r="AL51" s="43"/>
      <c r="AM51" s="44">
        <f>333.33</f>
        <v>333.33</v>
      </c>
      <c r="AN51" s="44">
        <f t="shared" si="45"/>
        <v>-333.33</v>
      </c>
      <c r="AO51" s="45">
        <f t="shared" si="46"/>
        <v>0</v>
      </c>
      <c r="AP51" s="43"/>
      <c r="AQ51" s="44">
        <f>333.33</f>
        <v>333.33</v>
      </c>
      <c r="AR51" s="44">
        <f t="shared" si="47"/>
        <v>-333.33</v>
      </c>
      <c r="AS51" s="45">
        <f t="shared" si="48"/>
        <v>0</v>
      </c>
      <c r="AT51" s="43"/>
      <c r="AU51" s="44">
        <f>333.37</f>
        <v>333.37</v>
      </c>
      <c r="AV51" s="44">
        <f t="shared" si="49"/>
        <v>-333.37</v>
      </c>
      <c r="AW51" s="45">
        <f t="shared" si="50"/>
        <v>0</v>
      </c>
      <c r="AX51" s="44">
        <f t="shared" si="51"/>
        <v>4000</v>
      </c>
      <c r="AY51" s="44">
        <f t="shared" si="51"/>
        <v>3999.9999999999995</v>
      </c>
      <c r="AZ51" s="44">
        <f t="shared" si="52"/>
        <v>0</v>
      </c>
      <c r="BA51" s="45">
        <f t="shared" si="53"/>
        <v>1.0000000000000002</v>
      </c>
    </row>
    <row r="52" spans="1:53" x14ac:dyDescent="0.3">
      <c r="A52" s="42" t="s">
        <v>163</v>
      </c>
      <c r="B52" s="46">
        <f>(((((B35)+(B41))+(B44))+(B45))+(B50))+(B51)</f>
        <v>17669.84</v>
      </c>
      <c r="C52" s="46">
        <f>(((((C35)+(C41))+(C44))+(C45))+(C50))+(C51)</f>
        <v>6791.66</v>
      </c>
      <c r="D52" s="46">
        <f t="shared" si="27"/>
        <v>10878.18</v>
      </c>
      <c r="E52" s="47">
        <f t="shared" si="28"/>
        <v>2.6016967869416314</v>
      </c>
      <c r="F52" s="46">
        <f>(((((F35)+(F41))+(F44))+(F45))+(F50))+(F51)</f>
        <v>1745.6</v>
      </c>
      <c r="G52" s="46">
        <f>(((((G35)+(G41))+(G44))+(G45))+(G50))+(G51)</f>
        <v>6791.66</v>
      </c>
      <c r="H52" s="46">
        <f t="shared" si="29"/>
        <v>-5046.0599999999995</v>
      </c>
      <c r="I52" s="47">
        <f t="shared" si="30"/>
        <v>0.25702111118636678</v>
      </c>
      <c r="J52" s="46">
        <f>(((((J35)+(J41))+(J44))+(J45))+(J50))+(J51)</f>
        <v>5460.39</v>
      </c>
      <c r="K52" s="46">
        <f>(((((K35)+(K41))+(K44))+(K45))+(K50))+(K51)</f>
        <v>6791.66</v>
      </c>
      <c r="L52" s="46">
        <f t="shared" si="31"/>
        <v>-1331.2699999999995</v>
      </c>
      <c r="M52" s="47">
        <f t="shared" si="32"/>
        <v>0.80398459286831203</v>
      </c>
      <c r="N52" s="46">
        <f>(((((N35)+(N41))+(N44))+(N45))+(N50))+(N51)</f>
        <v>3538.71</v>
      </c>
      <c r="O52" s="46">
        <f>(((((O35)+(O41))+(O44))+(O45))+(O50))+(O51)</f>
        <v>6791.66</v>
      </c>
      <c r="P52" s="46">
        <f t="shared" si="33"/>
        <v>-3252.95</v>
      </c>
      <c r="Q52" s="47">
        <f t="shared" si="34"/>
        <v>0.52103756666264212</v>
      </c>
      <c r="R52" s="46">
        <f>(((((R35)+(R41))+(R44))+(R45))+(R50))+(R51)</f>
        <v>5845.7400000000007</v>
      </c>
      <c r="S52" s="46">
        <f>(((((S35)+(S41))+(S44))+(S45))+(S50))+(S51)</f>
        <v>6791.66</v>
      </c>
      <c r="T52" s="46">
        <f t="shared" si="35"/>
        <v>-945.91999999999916</v>
      </c>
      <c r="U52" s="47">
        <f t="shared" si="36"/>
        <v>0.86072329886949595</v>
      </c>
      <c r="V52" s="46">
        <f>(((((V35)+(V41))+(V44))+(V45))+(V50))+(V51)</f>
        <v>6739.18</v>
      </c>
      <c r="W52" s="46">
        <f>(((((W35)+(W41))+(W44))+(W45))+(W50))+(W51)</f>
        <v>6791.66</v>
      </c>
      <c r="X52" s="46">
        <f t="shared" si="37"/>
        <v>-52.479999999999563</v>
      </c>
      <c r="Y52" s="47">
        <f t="shared" si="38"/>
        <v>0.9922728758506757</v>
      </c>
      <c r="Z52" s="46">
        <f>(((((Z35)+(Z41))+(Z44))+(Z45))+(Z50))+(Z51)</f>
        <v>5300.22</v>
      </c>
      <c r="AA52" s="46">
        <f>(((((AA35)+(AA41))+(AA44))+(AA45))+(AA50))+(AA51)</f>
        <v>6791.66</v>
      </c>
      <c r="AB52" s="46">
        <f t="shared" si="39"/>
        <v>-1491.4399999999996</v>
      </c>
      <c r="AC52" s="47">
        <f t="shared" si="40"/>
        <v>0.78040125683558959</v>
      </c>
      <c r="AD52" s="46">
        <f>(((((AD35)+(AD41))+(AD44))+(AD45))+(AD50))+(AD51)</f>
        <v>4232.37</v>
      </c>
      <c r="AE52" s="46">
        <f>(((((AE35)+(AE41))+(AE44))+(AE45))+(AE50))+(AE51)</f>
        <v>6791.66</v>
      </c>
      <c r="AF52" s="46">
        <f t="shared" si="41"/>
        <v>-2559.29</v>
      </c>
      <c r="AG52" s="47">
        <f t="shared" si="42"/>
        <v>0.62317165464702295</v>
      </c>
      <c r="AH52" s="46">
        <f>(((((AH35)+(AH41))+(AH44))+(AH45))+(AH50))+(AH51)</f>
        <v>0</v>
      </c>
      <c r="AI52" s="46">
        <f>(((((AI35)+(AI41))+(AI44))+(AI45))+(AI50))+(AI51)</f>
        <v>6791.66</v>
      </c>
      <c r="AJ52" s="46">
        <f t="shared" si="43"/>
        <v>-6791.66</v>
      </c>
      <c r="AK52" s="47">
        <f t="shared" si="44"/>
        <v>0</v>
      </c>
      <c r="AL52" s="46">
        <f>(((((AL35)+(AL41))+(AL44))+(AL45))+(AL50))+(AL51)</f>
        <v>0</v>
      </c>
      <c r="AM52" s="46">
        <f>(((((AM35)+(AM41))+(AM44))+(AM45))+(AM50))+(AM51)</f>
        <v>6791.66</v>
      </c>
      <c r="AN52" s="46">
        <f t="shared" si="45"/>
        <v>-6791.66</v>
      </c>
      <c r="AO52" s="47">
        <f t="shared" si="46"/>
        <v>0</v>
      </c>
      <c r="AP52" s="46">
        <f>(((((AP35)+(AP41))+(AP44))+(AP45))+(AP50))+(AP51)</f>
        <v>0</v>
      </c>
      <c r="AQ52" s="46">
        <f>(((((AQ35)+(AQ41))+(AQ44))+(AQ45))+(AQ50))+(AQ51)</f>
        <v>6791.66</v>
      </c>
      <c r="AR52" s="46">
        <f t="shared" si="47"/>
        <v>-6791.66</v>
      </c>
      <c r="AS52" s="47">
        <f t="shared" si="48"/>
        <v>0</v>
      </c>
      <c r="AT52" s="46">
        <f>(((((AT35)+(AT41))+(AT44))+(AT45))+(AT50))+(AT51)</f>
        <v>0</v>
      </c>
      <c r="AU52" s="46">
        <f>(((((AU35)+(AU41))+(AU44))+(AU45))+(AU50))+(AU51)</f>
        <v>6791.74</v>
      </c>
      <c r="AV52" s="46">
        <f t="shared" si="49"/>
        <v>-6791.74</v>
      </c>
      <c r="AW52" s="47">
        <f t="shared" si="50"/>
        <v>0</v>
      </c>
      <c r="AX52" s="46">
        <f t="shared" ref="AX52:AY83" si="54">(((((((((((B52)+(F52))+(J52))+(N52))+(R52))+(V52))+(Z52))+(AD52))+(AH52))+(AL52))+(AP52))+(AT52)</f>
        <v>50532.05</v>
      </c>
      <c r="AY52" s="46">
        <f t="shared" si="54"/>
        <v>81500.000000000029</v>
      </c>
      <c r="AZ52" s="46">
        <f t="shared" si="52"/>
        <v>-30967.950000000026</v>
      </c>
      <c r="BA52" s="47">
        <f t="shared" si="53"/>
        <v>0.62002515337423292</v>
      </c>
    </row>
    <row r="53" spans="1:53" x14ac:dyDescent="0.3">
      <c r="A53" s="42" t="s">
        <v>164</v>
      </c>
      <c r="B53" s="44">
        <f>567.71</f>
        <v>567.71</v>
      </c>
      <c r="C53" s="44">
        <f>291.67</f>
        <v>291.67</v>
      </c>
      <c r="D53" s="44">
        <f t="shared" si="27"/>
        <v>276.04000000000002</v>
      </c>
      <c r="E53" s="45">
        <f t="shared" si="28"/>
        <v>1.9464120410052457</v>
      </c>
      <c r="F53" s="43"/>
      <c r="G53" s="44">
        <f>291.67</f>
        <v>291.67</v>
      </c>
      <c r="H53" s="44">
        <f t="shared" si="29"/>
        <v>-291.67</v>
      </c>
      <c r="I53" s="45">
        <f t="shared" si="30"/>
        <v>0</v>
      </c>
      <c r="J53" s="44">
        <f>273.39</f>
        <v>273.39</v>
      </c>
      <c r="K53" s="44">
        <f>291.67</f>
        <v>291.67</v>
      </c>
      <c r="L53" s="44">
        <f t="shared" si="31"/>
        <v>-18.28000000000003</v>
      </c>
      <c r="M53" s="45">
        <f t="shared" si="32"/>
        <v>0.93732643055507925</v>
      </c>
      <c r="N53" s="44">
        <f>282.38</f>
        <v>282.38</v>
      </c>
      <c r="O53" s="44">
        <f>291.67</f>
        <v>291.67</v>
      </c>
      <c r="P53" s="44">
        <f t="shared" si="33"/>
        <v>-9.2900000000000205</v>
      </c>
      <c r="Q53" s="45">
        <f t="shared" si="34"/>
        <v>0.96814893544073777</v>
      </c>
      <c r="R53" s="44">
        <f>281.93</f>
        <v>281.93</v>
      </c>
      <c r="S53" s="44">
        <f>291.67</f>
        <v>291.67</v>
      </c>
      <c r="T53" s="44">
        <f t="shared" si="35"/>
        <v>-9.7400000000000091</v>
      </c>
      <c r="U53" s="45">
        <f t="shared" si="36"/>
        <v>0.9666060959303322</v>
      </c>
      <c r="V53" s="44">
        <f>278.98</f>
        <v>278.98</v>
      </c>
      <c r="W53" s="44">
        <f>291.67</f>
        <v>291.67</v>
      </c>
      <c r="X53" s="44">
        <f t="shared" si="37"/>
        <v>-12.689999999999998</v>
      </c>
      <c r="Y53" s="45">
        <f t="shared" si="38"/>
        <v>0.95649192580656217</v>
      </c>
      <c r="Z53" s="44">
        <f>281.78</f>
        <v>281.77999999999997</v>
      </c>
      <c r="AA53" s="44">
        <f>291.67</f>
        <v>291.67</v>
      </c>
      <c r="AB53" s="44">
        <f t="shared" si="39"/>
        <v>-9.8900000000000432</v>
      </c>
      <c r="AC53" s="45">
        <f t="shared" si="40"/>
        <v>0.96609181609353023</v>
      </c>
      <c r="AD53" s="44">
        <f>317.06</f>
        <v>317.06</v>
      </c>
      <c r="AE53" s="44">
        <f>291.67</f>
        <v>291.67</v>
      </c>
      <c r="AF53" s="44">
        <f t="shared" si="41"/>
        <v>25.389999999999986</v>
      </c>
      <c r="AG53" s="45">
        <f t="shared" si="42"/>
        <v>1.087050433709329</v>
      </c>
      <c r="AH53" s="43"/>
      <c r="AI53" s="44">
        <f>291.67</f>
        <v>291.67</v>
      </c>
      <c r="AJ53" s="44">
        <f t="shared" si="43"/>
        <v>-291.67</v>
      </c>
      <c r="AK53" s="45">
        <f t="shared" si="44"/>
        <v>0</v>
      </c>
      <c r="AL53" s="43"/>
      <c r="AM53" s="44">
        <f>291.67</f>
        <v>291.67</v>
      </c>
      <c r="AN53" s="44">
        <f t="shared" si="45"/>
        <v>-291.67</v>
      </c>
      <c r="AO53" s="45">
        <f t="shared" si="46"/>
        <v>0</v>
      </c>
      <c r="AP53" s="43"/>
      <c r="AQ53" s="44">
        <f>291.67</f>
        <v>291.67</v>
      </c>
      <c r="AR53" s="44">
        <f t="shared" si="47"/>
        <v>-291.67</v>
      </c>
      <c r="AS53" s="45">
        <f t="shared" si="48"/>
        <v>0</v>
      </c>
      <c r="AT53" s="43"/>
      <c r="AU53" s="44">
        <f>291.63</f>
        <v>291.63</v>
      </c>
      <c r="AV53" s="44">
        <f t="shared" si="49"/>
        <v>-291.63</v>
      </c>
      <c r="AW53" s="45">
        <f t="shared" si="50"/>
        <v>0</v>
      </c>
      <c r="AX53" s="44">
        <f t="shared" si="54"/>
        <v>2283.23</v>
      </c>
      <c r="AY53" s="44">
        <f t="shared" si="54"/>
        <v>3500.0000000000005</v>
      </c>
      <c r="AZ53" s="44">
        <f t="shared" si="52"/>
        <v>-1216.7700000000004</v>
      </c>
      <c r="BA53" s="45">
        <f t="shared" si="53"/>
        <v>0.65235142857142847</v>
      </c>
    </row>
    <row r="54" spans="1:53" x14ac:dyDescent="0.3">
      <c r="A54" s="42" t="s">
        <v>165</v>
      </c>
      <c r="B54" s="43"/>
      <c r="C54" s="44">
        <f>458.33</f>
        <v>458.33</v>
      </c>
      <c r="D54" s="44">
        <f t="shared" si="27"/>
        <v>-458.33</v>
      </c>
      <c r="E54" s="45">
        <f t="shared" si="28"/>
        <v>0</v>
      </c>
      <c r="F54" s="43"/>
      <c r="G54" s="44">
        <f>458.33</f>
        <v>458.33</v>
      </c>
      <c r="H54" s="44">
        <f t="shared" si="29"/>
        <v>-458.33</v>
      </c>
      <c r="I54" s="45">
        <f t="shared" si="30"/>
        <v>0</v>
      </c>
      <c r="J54" s="43"/>
      <c r="K54" s="44">
        <f>458.33</f>
        <v>458.33</v>
      </c>
      <c r="L54" s="44">
        <f t="shared" si="31"/>
        <v>-458.33</v>
      </c>
      <c r="M54" s="45">
        <f t="shared" si="32"/>
        <v>0</v>
      </c>
      <c r="N54" s="43"/>
      <c r="O54" s="44">
        <f>458.33</f>
        <v>458.33</v>
      </c>
      <c r="P54" s="44">
        <f t="shared" si="33"/>
        <v>-458.33</v>
      </c>
      <c r="Q54" s="45">
        <f t="shared" si="34"/>
        <v>0</v>
      </c>
      <c r="R54" s="43"/>
      <c r="S54" s="44">
        <f>458.33</f>
        <v>458.33</v>
      </c>
      <c r="T54" s="44">
        <f t="shared" si="35"/>
        <v>-458.33</v>
      </c>
      <c r="U54" s="45">
        <f t="shared" si="36"/>
        <v>0</v>
      </c>
      <c r="V54" s="43"/>
      <c r="W54" s="44">
        <f>458.33</f>
        <v>458.33</v>
      </c>
      <c r="X54" s="44">
        <f t="shared" si="37"/>
        <v>-458.33</v>
      </c>
      <c r="Y54" s="45">
        <f t="shared" si="38"/>
        <v>0</v>
      </c>
      <c r="Z54" s="43"/>
      <c r="AA54" s="44">
        <f>458.33</f>
        <v>458.33</v>
      </c>
      <c r="AB54" s="44">
        <f t="shared" si="39"/>
        <v>-458.33</v>
      </c>
      <c r="AC54" s="45">
        <f t="shared" si="40"/>
        <v>0</v>
      </c>
      <c r="AD54" s="43"/>
      <c r="AE54" s="44">
        <f>458.33</f>
        <v>458.33</v>
      </c>
      <c r="AF54" s="44">
        <f t="shared" si="41"/>
        <v>-458.33</v>
      </c>
      <c r="AG54" s="45">
        <f t="shared" si="42"/>
        <v>0</v>
      </c>
      <c r="AH54" s="43"/>
      <c r="AI54" s="44">
        <f>458.33</f>
        <v>458.33</v>
      </c>
      <c r="AJ54" s="44">
        <f t="shared" si="43"/>
        <v>-458.33</v>
      </c>
      <c r="AK54" s="45">
        <f t="shared" si="44"/>
        <v>0</v>
      </c>
      <c r="AL54" s="43"/>
      <c r="AM54" s="44">
        <f>458.33</f>
        <v>458.33</v>
      </c>
      <c r="AN54" s="44">
        <f t="shared" si="45"/>
        <v>-458.33</v>
      </c>
      <c r="AO54" s="45">
        <f t="shared" si="46"/>
        <v>0</v>
      </c>
      <c r="AP54" s="43"/>
      <c r="AQ54" s="44">
        <f>458.33</f>
        <v>458.33</v>
      </c>
      <c r="AR54" s="44">
        <f t="shared" si="47"/>
        <v>-458.33</v>
      </c>
      <c r="AS54" s="45">
        <f t="shared" si="48"/>
        <v>0</v>
      </c>
      <c r="AT54" s="43"/>
      <c r="AU54" s="44">
        <f>458.37</f>
        <v>458.37</v>
      </c>
      <c r="AV54" s="44">
        <f t="shared" si="49"/>
        <v>-458.37</v>
      </c>
      <c r="AW54" s="45">
        <f t="shared" si="50"/>
        <v>0</v>
      </c>
      <c r="AX54" s="44">
        <f t="shared" si="54"/>
        <v>0</v>
      </c>
      <c r="AY54" s="44">
        <f t="shared" si="54"/>
        <v>5500</v>
      </c>
      <c r="AZ54" s="44">
        <f t="shared" si="52"/>
        <v>-5500</v>
      </c>
      <c r="BA54" s="45">
        <f t="shared" si="53"/>
        <v>0</v>
      </c>
    </row>
    <row r="55" spans="1:53" x14ac:dyDescent="0.3">
      <c r="A55" s="42" t="s">
        <v>166</v>
      </c>
      <c r="B55" s="43"/>
      <c r="C55" s="43"/>
      <c r="D55" s="44">
        <f t="shared" si="27"/>
        <v>0</v>
      </c>
      <c r="E55" s="45" t="str">
        <f t="shared" si="28"/>
        <v/>
      </c>
      <c r="F55" s="43"/>
      <c r="G55" s="43"/>
      <c r="H55" s="44">
        <f t="shared" si="29"/>
        <v>0</v>
      </c>
      <c r="I55" s="45" t="str">
        <f t="shared" si="30"/>
        <v/>
      </c>
      <c r="J55" s="43"/>
      <c r="K55" s="43"/>
      <c r="L55" s="44">
        <f t="shared" si="31"/>
        <v>0</v>
      </c>
      <c r="M55" s="45" t="str">
        <f t="shared" si="32"/>
        <v/>
      </c>
      <c r="N55" s="43"/>
      <c r="O55" s="43"/>
      <c r="P55" s="44">
        <f t="shared" si="33"/>
        <v>0</v>
      </c>
      <c r="Q55" s="45" t="str">
        <f t="shared" si="34"/>
        <v/>
      </c>
      <c r="R55" s="43"/>
      <c r="S55" s="43"/>
      <c r="T55" s="44">
        <f t="shared" si="35"/>
        <v>0</v>
      </c>
      <c r="U55" s="45" t="str">
        <f t="shared" si="36"/>
        <v/>
      </c>
      <c r="V55" s="43"/>
      <c r="W55" s="43"/>
      <c r="X55" s="44">
        <f t="shared" si="37"/>
        <v>0</v>
      </c>
      <c r="Y55" s="45" t="str">
        <f t="shared" si="38"/>
        <v/>
      </c>
      <c r="Z55" s="43"/>
      <c r="AA55" s="43"/>
      <c r="AB55" s="44">
        <f t="shared" si="39"/>
        <v>0</v>
      </c>
      <c r="AC55" s="45" t="str">
        <f t="shared" si="40"/>
        <v/>
      </c>
      <c r="AD55" s="43"/>
      <c r="AE55" s="43"/>
      <c r="AF55" s="44">
        <f t="shared" si="41"/>
        <v>0</v>
      </c>
      <c r="AG55" s="45" t="str">
        <f t="shared" si="42"/>
        <v/>
      </c>
      <c r="AH55" s="43"/>
      <c r="AI55" s="43"/>
      <c r="AJ55" s="44">
        <f t="shared" si="43"/>
        <v>0</v>
      </c>
      <c r="AK55" s="45" t="str">
        <f t="shared" si="44"/>
        <v/>
      </c>
      <c r="AL55" s="43"/>
      <c r="AM55" s="43"/>
      <c r="AN55" s="44">
        <f t="shared" si="45"/>
        <v>0</v>
      </c>
      <c r="AO55" s="45" t="str">
        <f t="shared" si="46"/>
        <v/>
      </c>
      <c r="AP55" s="43"/>
      <c r="AQ55" s="43"/>
      <c r="AR55" s="44">
        <f t="shared" si="47"/>
        <v>0</v>
      </c>
      <c r="AS55" s="45" t="str">
        <f t="shared" si="48"/>
        <v/>
      </c>
      <c r="AT55" s="43"/>
      <c r="AU55" s="43"/>
      <c r="AV55" s="44">
        <f t="shared" si="49"/>
        <v>0</v>
      </c>
      <c r="AW55" s="45" t="str">
        <f t="shared" si="50"/>
        <v/>
      </c>
      <c r="AX55" s="44">
        <f t="shared" si="54"/>
        <v>0</v>
      </c>
      <c r="AY55" s="44">
        <f t="shared" si="54"/>
        <v>0</v>
      </c>
      <c r="AZ55" s="44">
        <f t="shared" si="52"/>
        <v>0</v>
      </c>
      <c r="BA55" s="45" t="str">
        <f t="shared" si="53"/>
        <v/>
      </c>
    </row>
    <row r="56" spans="1:53" x14ac:dyDescent="0.3">
      <c r="A56" s="42" t="s">
        <v>120</v>
      </c>
      <c r="B56" s="44">
        <f>5500</f>
        <v>5500</v>
      </c>
      <c r="C56" s="44">
        <f>583.33</f>
        <v>583.33000000000004</v>
      </c>
      <c r="D56" s="44">
        <f t="shared" si="27"/>
        <v>4916.67</v>
      </c>
      <c r="E56" s="45">
        <f t="shared" si="28"/>
        <v>9.4286253064303214</v>
      </c>
      <c r="F56" s="43"/>
      <c r="G56" s="44">
        <f>583.33</f>
        <v>583.33000000000004</v>
      </c>
      <c r="H56" s="44">
        <f t="shared" si="29"/>
        <v>-583.33000000000004</v>
      </c>
      <c r="I56" s="45">
        <f t="shared" si="30"/>
        <v>0</v>
      </c>
      <c r="J56" s="43"/>
      <c r="K56" s="44">
        <f>583.33</f>
        <v>583.33000000000004</v>
      </c>
      <c r="L56" s="44">
        <f t="shared" si="31"/>
        <v>-583.33000000000004</v>
      </c>
      <c r="M56" s="45">
        <f t="shared" si="32"/>
        <v>0</v>
      </c>
      <c r="N56" s="43"/>
      <c r="O56" s="44">
        <f>583.33</f>
        <v>583.33000000000004</v>
      </c>
      <c r="P56" s="44">
        <f t="shared" si="33"/>
        <v>-583.33000000000004</v>
      </c>
      <c r="Q56" s="45">
        <f t="shared" si="34"/>
        <v>0</v>
      </c>
      <c r="R56" s="43"/>
      <c r="S56" s="44">
        <f>583.33</f>
        <v>583.33000000000004</v>
      </c>
      <c r="T56" s="44">
        <f t="shared" si="35"/>
        <v>-583.33000000000004</v>
      </c>
      <c r="U56" s="45">
        <f t="shared" si="36"/>
        <v>0</v>
      </c>
      <c r="V56" s="43"/>
      <c r="W56" s="44">
        <f>583.33</f>
        <v>583.33000000000004</v>
      </c>
      <c r="X56" s="44">
        <f t="shared" si="37"/>
        <v>-583.33000000000004</v>
      </c>
      <c r="Y56" s="45">
        <f t="shared" si="38"/>
        <v>0</v>
      </c>
      <c r="Z56" s="43"/>
      <c r="AA56" s="44">
        <f>583.33</f>
        <v>583.33000000000004</v>
      </c>
      <c r="AB56" s="44">
        <f t="shared" si="39"/>
        <v>-583.33000000000004</v>
      </c>
      <c r="AC56" s="45">
        <f t="shared" si="40"/>
        <v>0</v>
      </c>
      <c r="AD56" s="43"/>
      <c r="AE56" s="44">
        <f>583.33</f>
        <v>583.33000000000004</v>
      </c>
      <c r="AF56" s="44">
        <f t="shared" si="41"/>
        <v>-583.33000000000004</v>
      </c>
      <c r="AG56" s="45">
        <f t="shared" si="42"/>
        <v>0</v>
      </c>
      <c r="AH56" s="43"/>
      <c r="AI56" s="44">
        <f>583.33</f>
        <v>583.33000000000004</v>
      </c>
      <c r="AJ56" s="44">
        <f t="shared" si="43"/>
        <v>-583.33000000000004</v>
      </c>
      <c r="AK56" s="45">
        <f t="shared" si="44"/>
        <v>0</v>
      </c>
      <c r="AL56" s="43"/>
      <c r="AM56" s="44">
        <f>583.33</f>
        <v>583.33000000000004</v>
      </c>
      <c r="AN56" s="44">
        <f t="shared" si="45"/>
        <v>-583.33000000000004</v>
      </c>
      <c r="AO56" s="45">
        <f t="shared" si="46"/>
        <v>0</v>
      </c>
      <c r="AP56" s="43"/>
      <c r="AQ56" s="44">
        <f>583.33</f>
        <v>583.33000000000004</v>
      </c>
      <c r="AR56" s="44">
        <f t="shared" si="47"/>
        <v>-583.33000000000004</v>
      </c>
      <c r="AS56" s="45">
        <f t="shared" si="48"/>
        <v>0</v>
      </c>
      <c r="AT56" s="43"/>
      <c r="AU56" s="44">
        <f>583.37</f>
        <v>583.37</v>
      </c>
      <c r="AV56" s="44">
        <f t="shared" si="49"/>
        <v>-583.37</v>
      </c>
      <c r="AW56" s="45">
        <f t="shared" si="50"/>
        <v>0</v>
      </c>
      <c r="AX56" s="44">
        <f t="shared" si="54"/>
        <v>5500</v>
      </c>
      <c r="AY56" s="44">
        <f t="shared" si="54"/>
        <v>7000</v>
      </c>
      <c r="AZ56" s="44">
        <f t="shared" si="52"/>
        <v>-1500</v>
      </c>
      <c r="BA56" s="45">
        <f t="shared" si="53"/>
        <v>0.7857142857142857</v>
      </c>
    </row>
    <row r="57" spans="1:53" x14ac:dyDescent="0.3">
      <c r="A57" s="42" t="s">
        <v>121</v>
      </c>
      <c r="B57" s="44">
        <f>1256.8</f>
        <v>1256.8</v>
      </c>
      <c r="C57" s="44">
        <f>291.67</f>
        <v>291.67</v>
      </c>
      <c r="D57" s="44">
        <f t="shared" si="27"/>
        <v>965.12999999999988</v>
      </c>
      <c r="E57" s="45">
        <f t="shared" si="28"/>
        <v>4.3089793259505598</v>
      </c>
      <c r="F57" s="44">
        <f>1888</f>
        <v>1888</v>
      </c>
      <c r="G57" s="44">
        <f>291.67</f>
        <v>291.67</v>
      </c>
      <c r="H57" s="44">
        <f t="shared" si="29"/>
        <v>1596.33</v>
      </c>
      <c r="I57" s="45">
        <f t="shared" si="30"/>
        <v>6.4730688792128088</v>
      </c>
      <c r="J57" s="43"/>
      <c r="K57" s="44">
        <f>291.67</f>
        <v>291.67</v>
      </c>
      <c r="L57" s="44">
        <f t="shared" si="31"/>
        <v>-291.67</v>
      </c>
      <c r="M57" s="45">
        <f t="shared" si="32"/>
        <v>0</v>
      </c>
      <c r="N57" s="44">
        <f>3135.37</f>
        <v>3135.37</v>
      </c>
      <c r="O57" s="44">
        <f>291.67</f>
        <v>291.67</v>
      </c>
      <c r="P57" s="44">
        <f t="shared" si="33"/>
        <v>2843.7</v>
      </c>
      <c r="Q57" s="45">
        <f t="shared" si="34"/>
        <v>10.749717146089758</v>
      </c>
      <c r="R57" s="43"/>
      <c r="S57" s="44">
        <f>291.67</f>
        <v>291.67</v>
      </c>
      <c r="T57" s="44">
        <f t="shared" si="35"/>
        <v>-291.67</v>
      </c>
      <c r="U57" s="45">
        <f t="shared" si="36"/>
        <v>0</v>
      </c>
      <c r="V57" s="43"/>
      <c r="W57" s="44">
        <f>291.67</f>
        <v>291.67</v>
      </c>
      <c r="X57" s="44">
        <f t="shared" si="37"/>
        <v>-291.67</v>
      </c>
      <c r="Y57" s="45">
        <f t="shared" si="38"/>
        <v>0</v>
      </c>
      <c r="Z57" s="43"/>
      <c r="AA57" s="44">
        <f>291.67</f>
        <v>291.67</v>
      </c>
      <c r="AB57" s="44">
        <f t="shared" si="39"/>
        <v>-291.67</v>
      </c>
      <c r="AC57" s="45">
        <f t="shared" si="40"/>
        <v>0</v>
      </c>
      <c r="AD57" s="44">
        <f>-1200</f>
        <v>-1200</v>
      </c>
      <c r="AE57" s="44">
        <f>291.67</f>
        <v>291.67</v>
      </c>
      <c r="AF57" s="44">
        <f t="shared" si="41"/>
        <v>-1491.67</v>
      </c>
      <c r="AG57" s="45">
        <f t="shared" si="42"/>
        <v>-4.1142386944149205</v>
      </c>
      <c r="AH57" s="43"/>
      <c r="AI57" s="44">
        <f>291.67</f>
        <v>291.67</v>
      </c>
      <c r="AJ57" s="44">
        <f t="shared" si="43"/>
        <v>-291.67</v>
      </c>
      <c r="AK57" s="45">
        <f t="shared" si="44"/>
        <v>0</v>
      </c>
      <c r="AL57" s="43"/>
      <c r="AM57" s="44">
        <f>291.67</f>
        <v>291.67</v>
      </c>
      <c r="AN57" s="44">
        <f t="shared" si="45"/>
        <v>-291.67</v>
      </c>
      <c r="AO57" s="45">
        <f t="shared" si="46"/>
        <v>0</v>
      </c>
      <c r="AP57" s="43"/>
      <c r="AQ57" s="44">
        <f>291.67</f>
        <v>291.67</v>
      </c>
      <c r="AR57" s="44">
        <f t="shared" si="47"/>
        <v>-291.67</v>
      </c>
      <c r="AS57" s="45">
        <f t="shared" si="48"/>
        <v>0</v>
      </c>
      <c r="AT57" s="43"/>
      <c r="AU57" s="44">
        <f>291.63</f>
        <v>291.63</v>
      </c>
      <c r="AV57" s="44">
        <f t="shared" si="49"/>
        <v>-291.63</v>
      </c>
      <c r="AW57" s="45">
        <f t="shared" si="50"/>
        <v>0</v>
      </c>
      <c r="AX57" s="44">
        <f t="shared" si="54"/>
        <v>5080.17</v>
      </c>
      <c r="AY57" s="44">
        <f t="shared" si="54"/>
        <v>3500.0000000000005</v>
      </c>
      <c r="AZ57" s="44">
        <f t="shared" si="52"/>
        <v>1580.1699999999996</v>
      </c>
      <c r="BA57" s="45">
        <f t="shared" si="53"/>
        <v>1.4514771428571427</v>
      </c>
    </row>
    <row r="58" spans="1:53" x14ac:dyDescent="0.3">
      <c r="A58" s="42" t="s">
        <v>167</v>
      </c>
      <c r="B58" s="43"/>
      <c r="C58" s="43"/>
      <c r="D58" s="44">
        <f t="shared" si="27"/>
        <v>0</v>
      </c>
      <c r="E58" s="45" t="str">
        <f t="shared" si="28"/>
        <v/>
      </c>
      <c r="F58" s="44">
        <f>-18.68</f>
        <v>-18.68</v>
      </c>
      <c r="G58" s="43"/>
      <c r="H58" s="44">
        <f t="shared" si="29"/>
        <v>-18.68</v>
      </c>
      <c r="I58" s="45" t="str">
        <f t="shared" si="30"/>
        <v/>
      </c>
      <c r="J58" s="43"/>
      <c r="K58" s="43"/>
      <c r="L58" s="44">
        <f t="shared" si="31"/>
        <v>0</v>
      </c>
      <c r="M58" s="45" t="str">
        <f t="shared" si="32"/>
        <v/>
      </c>
      <c r="N58" s="44">
        <f>228.58</f>
        <v>228.58</v>
      </c>
      <c r="O58" s="43"/>
      <c r="P58" s="44">
        <f t="shared" si="33"/>
        <v>228.58</v>
      </c>
      <c r="Q58" s="45" t="str">
        <f t="shared" si="34"/>
        <v/>
      </c>
      <c r="R58" s="43"/>
      <c r="S58" s="43"/>
      <c r="T58" s="44">
        <f t="shared" si="35"/>
        <v>0</v>
      </c>
      <c r="U58" s="45" t="str">
        <f t="shared" si="36"/>
        <v/>
      </c>
      <c r="V58" s="43"/>
      <c r="W58" s="43"/>
      <c r="X58" s="44">
        <f t="shared" si="37"/>
        <v>0</v>
      </c>
      <c r="Y58" s="45" t="str">
        <f t="shared" si="38"/>
        <v/>
      </c>
      <c r="Z58" s="44">
        <f>-25</f>
        <v>-25</v>
      </c>
      <c r="AA58" s="43"/>
      <c r="AB58" s="44">
        <f t="shared" si="39"/>
        <v>-25</v>
      </c>
      <c r="AC58" s="45" t="str">
        <f t="shared" si="40"/>
        <v/>
      </c>
      <c r="AD58" s="44">
        <f>-15</f>
        <v>-15</v>
      </c>
      <c r="AE58" s="43"/>
      <c r="AF58" s="44">
        <f t="shared" si="41"/>
        <v>-15</v>
      </c>
      <c r="AG58" s="45" t="str">
        <f t="shared" si="42"/>
        <v/>
      </c>
      <c r="AH58" s="43"/>
      <c r="AI58" s="43"/>
      <c r="AJ58" s="44">
        <f t="shared" si="43"/>
        <v>0</v>
      </c>
      <c r="AK58" s="45" t="str">
        <f t="shared" si="44"/>
        <v/>
      </c>
      <c r="AL58" s="43"/>
      <c r="AM58" s="43"/>
      <c r="AN58" s="44">
        <f t="shared" si="45"/>
        <v>0</v>
      </c>
      <c r="AO58" s="45" t="str">
        <f t="shared" si="46"/>
        <v/>
      </c>
      <c r="AP58" s="43"/>
      <c r="AQ58" s="43"/>
      <c r="AR58" s="44">
        <f t="shared" si="47"/>
        <v>0</v>
      </c>
      <c r="AS58" s="45" t="str">
        <f t="shared" si="48"/>
        <v/>
      </c>
      <c r="AT58" s="43"/>
      <c r="AU58" s="43"/>
      <c r="AV58" s="44">
        <f t="shared" si="49"/>
        <v>0</v>
      </c>
      <c r="AW58" s="45" t="str">
        <f t="shared" si="50"/>
        <v/>
      </c>
      <c r="AX58" s="44">
        <f t="shared" si="54"/>
        <v>169.9</v>
      </c>
      <c r="AY58" s="44">
        <f t="shared" si="54"/>
        <v>0</v>
      </c>
      <c r="AZ58" s="44">
        <f t="shared" si="52"/>
        <v>169.9</v>
      </c>
      <c r="BA58" s="45" t="str">
        <f t="shared" si="53"/>
        <v/>
      </c>
    </row>
    <row r="59" spans="1:53" x14ac:dyDescent="0.3">
      <c r="A59" s="42" t="s">
        <v>168</v>
      </c>
      <c r="B59" s="46">
        <f>(((B55)+(B56))+(B57))+(B58)</f>
        <v>6756.8</v>
      </c>
      <c r="C59" s="46">
        <f>(((C55)+(C56))+(C57))+(C58)</f>
        <v>875</v>
      </c>
      <c r="D59" s="46">
        <f t="shared" si="27"/>
        <v>5881.8</v>
      </c>
      <c r="E59" s="47">
        <f t="shared" si="28"/>
        <v>7.7220571428571434</v>
      </c>
      <c r="F59" s="46">
        <f>(((F55)+(F56))+(F57))+(F58)</f>
        <v>1869.32</v>
      </c>
      <c r="G59" s="46">
        <f>(((G55)+(G56))+(G57))+(G58)</f>
        <v>875</v>
      </c>
      <c r="H59" s="46">
        <f t="shared" si="29"/>
        <v>994.31999999999994</v>
      </c>
      <c r="I59" s="47">
        <f t="shared" si="30"/>
        <v>2.1363657142857142</v>
      </c>
      <c r="J59" s="46">
        <f>(((J55)+(J56))+(J57))+(J58)</f>
        <v>0</v>
      </c>
      <c r="K59" s="46">
        <f>(((K55)+(K56))+(K57))+(K58)</f>
        <v>875</v>
      </c>
      <c r="L59" s="46">
        <f t="shared" si="31"/>
        <v>-875</v>
      </c>
      <c r="M59" s="47">
        <f t="shared" si="32"/>
        <v>0</v>
      </c>
      <c r="N59" s="46">
        <f>(((N55)+(N56))+(N57))+(N58)</f>
        <v>3363.95</v>
      </c>
      <c r="O59" s="46">
        <f>(((O55)+(O56))+(O57))+(O58)</f>
        <v>875</v>
      </c>
      <c r="P59" s="46">
        <f t="shared" si="33"/>
        <v>2488.9499999999998</v>
      </c>
      <c r="Q59" s="47">
        <f t="shared" si="34"/>
        <v>3.8445142857142853</v>
      </c>
      <c r="R59" s="46">
        <f>(((R55)+(R56))+(R57))+(R58)</f>
        <v>0</v>
      </c>
      <c r="S59" s="46">
        <f>(((S55)+(S56))+(S57))+(S58)</f>
        <v>875</v>
      </c>
      <c r="T59" s="46">
        <f t="shared" si="35"/>
        <v>-875</v>
      </c>
      <c r="U59" s="47">
        <f t="shared" si="36"/>
        <v>0</v>
      </c>
      <c r="V59" s="46">
        <f>(((V55)+(V56))+(V57))+(V58)</f>
        <v>0</v>
      </c>
      <c r="W59" s="46">
        <f>(((W55)+(W56))+(W57))+(W58)</f>
        <v>875</v>
      </c>
      <c r="X59" s="46">
        <f t="shared" si="37"/>
        <v>-875</v>
      </c>
      <c r="Y59" s="47">
        <f t="shared" si="38"/>
        <v>0</v>
      </c>
      <c r="Z59" s="46">
        <f>(((Z55)+(Z56))+(Z57))+(Z58)</f>
        <v>-25</v>
      </c>
      <c r="AA59" s="46">
        <f>(((AA55)+(AA56))+(AA57))+(AA58)</f>
        <v>875</v>
      </c>
      <c r="AB59" s="46">
        <f t="shared" si="39"/>
        <v>-900</v>
      </c>
      <c r="AC59" s="47">
        <f t="shared" si="40"/>
        <v>-2.8571428571428571E-2</v>
      </c>
      <c r="AD59" s="46">
        <f>(((AD55)+(AD56))+(AD57))+(AD58)</f>
        <v>-1215</v>
      </c>
      <c r="AE59" s="46">
        <f>(((AE55)+(AE56))+(AE57))+(AE58)</f>
        <v>875</v>
      </c>
      <c r="AF59" s="46">
        <f t="shared" si="41"/>
        <v>-2090</v>
      </c>
      <c r="AG59" s="47">
        <f t="shared" si="42"/>
        <v>-1.3885714285714286</v>
      </c>
      <c r="AH59" s="46">
        <f>(((AH55)+(AH56))+(AH57))+(AH58)</f>
        <v>0</v>
      </c>
      <c r="AI59" s="46">
        <f>(((AI55)+(AI56))+(AI57))+(AI58)</f>
        <v>875</v>
      </c>
      <c r="AJ59" s="46">
        <f t="shared" si="43"/>
        <v>-875</v>
      </c>
      <c r="AK59" s="47">
        <f t="shared" si="44"/>
        <v>0</v>
      </c>
      <c r="AL59" s="46">
        <f>(((AL55)+(AL56))+(AL57))+(AL58)</f>
        <v>0</v>
      </c>
      <c r="AM59" s="46">
        <f>(((AM55)+(AM56))+(AM57))+(AM58)</f>
        <v>875</v>
      </c>
      <c r="AN59" s="46">
        <f t="shared" si="45"/>
        <v>-875</v>
      </c>
      <c r="AO59" s="47">
        <f t="shared" si="46"/>
        <v>0</v>
      </c>
      <c r="AP59" s="46">
        <f>(((AP55)+(AP56))+(AP57))+(AP58)</f>
        <v>0</v>
      </c>
      <c r="AQ59" s="46">
        <f>(((AQ55)+(AQ56))+(AQ57))+(AQ58)</f>
        <v>875</v>
      </c>
      <c r="AR59" s="46">
        <f t="shared" si="47"/>
        <v>-875</v>
      </c>
      <c r="AS59" s="47">
        <f t="shared" si="48"/>
        <v>0</v>
      </c>
      <c r="AT59" s="46">
        <f>(((AT55)+(AT56))+(AT57))+(AT58)</f>
        <v>0</v>
      </c>
      <c r="AU59" s="46">
        <f>(((AU55)+(AU56))+(AU57))+(AU58)</f>
        <v>875</v>
      </c>
      <c r="AV59" s="46">
        <f t="shared" si="49"/>
        <v>-875</v>
      </c>
      <c r="AW59" s="47">
        <f t="shared" si="50"/>
        <v>0</v>
      </c>
      <c r="AX59" s="46">
        <f t="shared" si="54"/>
        <v>10750.07</v>
      </c>
      <c r="AY59" s="46">
        <f t="shared" si="54"/>
        <v>10500</v>
      </c>
      <c r="AZ59" s="46">
        <f t="shared" si="52"/>
        <v>250.06999999999971</v>
      </c>
      <c r="BA59" s="47">
        <f t="shared" si="53"/>
        <v>1.0238161904761904</v>
      </c>
    </row>
    <row r="60" spans="1:53" x14ac:dyDescent="0.3">
      <c r="A60" s="42" t="s">
        <v>169</v>
      </c>
      <c r="B60" s="43"/>
      <c r="C60" s="44">
        <f>416.67</f>
        <v>416.67</v>
      </c>
      <c r="D60" s="44">
        <f t="shared" si="27"/>
        <v>-416.67</v>
      </c>
      <c r="E60" s="45">
        <f t="shared" si="28"/>
        <v>0</v>
      </c>
      <c r="F60" s="43"/>
      <c r="G60" s="44">
        <f>416.67</f>
        <v>416.67</v>
      </c>
      <c r="H60" s="44">
        <f t="shared" si="29"/>
        <v>-416.67</v>
      </c>
      <c r="I60" s="45">
        <f t="shared" si="30"/>
        <v>0</v>
      </c>
      <c r="J60" s="43"/>
      <c r="K60" s="44">
        <f>416.67</f>
        <v>416.67</v>
      </c>
      <c r="L60" s="44">
        <f t="shared" si="31"/>
        <v>-416.67</v>
      </c>
      <c r="M60" s="45">
        <f t="shared" si="32"/>
        <v>0</v>
      </c>
      <c r="N60" s="43"/>
      <c r="O60" s="44">
        <f>416.67</f>
        <v>416.67</v>
      </c>
      <c r="P60" s="44">
        <f t="shared" si="33"/>
        <v>-416.67</v>
      </c>
      <c r="Q60" s="45">
        <f t="shared" si="34"/>
        <v>0</v>
      </c>
      <c r="R60" s="43"/>
      <c r="S60" s="44">
        <f>416.67</f>
        <v>416.67</v>
      </c>
      <c r="T60" s="44">
        <f t="shared" si="35"/>
        <v>-416.67</v>
      </c>
      <c r="U60" s="45">
        <f t="shared" si="36"/>
        <v>0</v>
      </c>
      <c r="V60" s="43"/>
      <c r="W60" s="44">
        <f>416.67</f>
        <v>416.67</v>
      </c>
      <c r="X60" s="44">
        <f t="shared" si="37"/>
        <v>-416.67</v>
      </c>
      <c r="Y60" s="45">
        <f t="shared" si="38"/>
        <v>0</v>
      </c>
      <c r="Z60" s="43"/>
      <c r="AA60" s="44">
        <f>416.67</f>
        <v>416.67</v>
      </c>
      <c r="AB60" s="44">
        <f t="shared" si="39"/>
        <v>-416.67</v>
      </c>
      <c r="AC60" s="45">
        <f t="shared" si="40"/>
        <v>0</v>
      </c>
      <c r="AD60" s="43"/>
      <c r="AE60" s="44">
        <f>416.67</f>
        <v>416.67</v>
      </c>
      <c r="AF60" s="44">
        <f t="shared" si="41"/>
        <v>-416.67</v>
      </c>
      <c r="AG60" s="45">
        <f t="shared" si="42"/>
        <v>0</v>
      </c>
      <c r="AH60" s="43"/>
      <c r="AI60" s="44">
        <f>416.67</f>
        <v>416.67</v>
      </c>
      <c r="AJ60" s="44">
        <f t="shared" si="43"/>
        <v>-416.67</v>
      </c>
      <c r="AK60" s="45">
        <f t="shared" si="44"/>
        <v>0</v>
      </c>
      <c r="AL60" s="43"/>
      <c r="AM60" s="44">
        <f>416.67</f>
        <v>416.67</v>
      </c>
      <c r="AN60" s="44">
        <f t="shared" si="45"/>
        <v>-416.67</v>
      </c>
      <c r="AO60" s="45">
        <f t="shared" si="46"/>
        <v>0</v>
      </c>
      <c r="AP60" s="43"/>
      <c r="AQ60" s="44">
        <f>416.67</f>
        <v>416.67</v>
      </c>
      <c r="AR60" s="44">
        <f t="shared" si="47"/>
        <v>-416.67</v>
      </c>
      <c r="AS60" s="45">
        <f t="shared" si="48"/>
        <v>0</v>
      </c>
      <c r="AT60" s="43"/>
      <c r="AU60" s="44">
        <f>416.63</f>
        <v>416.63</v>
      </c>
      <c r="AV60" s="44">
        <f t="shared" si="49"/>
        <v>-416.63</v>
      </c>
      <c r="AW60" s="45">
        <f t="shared" si="50"/>
        <v>0</v>
      </c>
      <c r="AX60" s="44">
        <f t="shared" si="54"/>
        <v>0</v>
      </c>
      <c r="AY60" s="44">
        <f t="shared" si="54"/>
        <v>5000</v>
      </c>
      <c r="AZ60" s="44">
        <f t="shared" si="52"/>
        <v>-5000</v>
      </c>
      <c r="BA60" s="45">
        <f t="shared" si="53"/>
        <v>0</v>
      </c>
    </row>
    <row r="61" spans="1:53" x14ac:dyDescent="0.3">
      <c r="A61" s="42" t="s">
        <v>170</v>
      </c>
      <c r="B61" s="44">
        <f>23.99</f>
        <v>23.99</v>
      </c>
      <c r="C61" s="44">
        <f>125</f>
        <v>125</v>
      </c>
      <c r="D61" s="44">
        <f t="shared" si="27"/>
        <v>-101.01</v>
      </c>
      <c r="E61" s="45">
        <f t="shared" si="28"/>
        <v>0.19191999999999998</v>
      </c>
      <c r="F61" s="44">
        <f>261.15</f>
        <v>261.14999999999998</v>
      </c>
      <c r="G61" s="44">
        <f>125</f>
        <v>125</v>
      </c>
      <c r="H61" s="44">
        <f t="shared" si="29"/>
        <v>136.14999999999998</v>
      </c>
      <c r="I61" s="45">
        <f t="shared" si="30"/>
        <v>2.0891999999999999</v>
      </c>
      <c r="J61" s="44">
        <f>27.5</f>
        <v>27.5</v>
      </c>
      <c r="K61" s="44">
        <f>125</f>
        <v>125</v>
      </c>
      <c r="L61" s="44">
        <f t="shared" si="31"/>
        <v>-97.5</v>
      </c>
      <c r="M61" s="45">
        <f t="shared" si="32"/>
        <v>0.22</v>
      </c>
      <c r="N61" s="44">
        <f>61.9</f>
        <v>61.9</v>
      </c>
      <c r="O61" s="44">
        <f>125</f>
        <v>125</v>
      </c>
      <c r="P61" s="44">
        <f t="shared" si="33"/>
        <v>-63.1</v>
      </c>
      <c r="Q61" s="45">
        <f t="shared" si="34"/>
        <v>0.49519999999999997</v>
      </c>
      <c r="R61" s="44">
        <f>256.16</f>
        <v>256.16000000000003</v>
      </c>
      <c r="S61" s="44">
        <f>125</f>
        <v>125</v>
      </c>
      <c r="T61" s="44">
        <f t="shared" si="35"/>
        <v>131.16000000000003</v>
      </c>
      <c r="U61" s="45">
        <f t="shared" si="36"/>
        <v>2.04928</v>
      </c>
      <c r="V61" s="44">
        <f>79.48</f>
        <v>79.48</v>
      </c>
      <c r="W61" s="44">
        <f>125</f>
        <v>125</v>
      </c>
      <c r="X61" s="44">
        <f t="shared" si="37"/>
        <v>-45.519999999999996</v>
      </c>
      <c r="Y61" s="45">
        <f t="shared" si="38"/>
        <v>0.63584000000000007</v>
      </c>
      <c r="Z61" s="44">
        <f>122.09</f>
        <v>122.09</v>
      </c>
      <c r="AA61" s="44">
        <f>125</f>
        <v>125</v>
      </c>
      <c r="AB61" s="44">
        <f t="shared" si="39"/>
        <v>-2.9099999999999966</v>
      </c>
      <c r="AC61" s="45">
        <f t="shared" si="40"/>
        <v>0.97672000000000003</v>
      </c>
      <c r="AD61" s="44">
        <f>182.58</f>
        <v>182.58</v>
      </c>
      <c r="AE61" s="44">
        <f>125</f>
        <v>125</v>
      </c>
      <c r="AF61" s="44">
        <f t="shared" si="41"/>
        <v>57.580000000000013</v>
      </c>
      <c r="AG61" s="45">
        <f t="shared" si="42"/>
        <v>1.4606400000000002</v>
      </c>
      <c r="AH61" s="43"/>
      <c r="AI61" s="44">
        <f>125</f>
        <v>125</v>
      </c>
      <c r="AJ61" s="44">
        <f t="shared" si="43"/>
        <v>-125</v>
      </c>
      <c r="AK61" s="45">
        <f t="shared" si="44"/>
        <v>0</v>
      </c>
      <c r="AL61" s="43"/>
      <c r="AM61" s="44">
        <f>125</f>
        <v>125</v>
      </c>
      <c r="AN61" s="44">
        <f t="shared" si="45"/>
        <v>-125</v>
      </c>
      <c r="AO61" s="45">
        <f t="shared" si="46"/>
        <v>0</v>
      </c>
      <c r="AP61" s="43"/>
      <c r="AQ61" s="44">
        <f>125</f>
        <v>125</v>
      </c>
      <c r="AR61" s="44">
        <f t="shared" si="47"/>
        <v>-125</v>
      </c>
      <c r="AS61" s="45">
        <f t="shared" si="48"/>
        <v>0</v>
      </c>
      <c r="AT61" s="43"/>
      <c r="AU61" s="44">
        <f>125</f>
        <v>125</v>
      </c>
      <c r="AV61" s="44">
        <f t="shared" si="49"/>
        <v>-125</v>
      </c>
      <c r="AW61" s="45">
        <f t="shared" si="50"/>
        <v>0</v>
      </c>
      <c r="AX61" s="44">
        <f t="shared" si="54"/>
        <v>1014.8500000000001</v>
      </c>
      <c r="AY61" s="44">
        <f t="shared" si="54"/>
        <v>1500</v>
      </c>
      <c r="AZ61" s="44">
        <f t="shared" si="52"/>
        <v>-485.14999999999986</v>
      </c>
      <c r="BA61" s="45">
        <f t="shared" si="53"/>
        <v>0.67656666666666676</v>
      </c>
    </row>
    <row r="62" spans="1:53" x14ac:dyDescent="0.3">
      <c r="A62" s="42" t="s">
        <v>171</v>
      </c>
      <c r="B62" s="44">
        <f>15</f>
        <v>15</v>
      </c>
      <c r="C62" s="44">
        <f>25</f>
        <v>25</v>
      </c>
      <c r="D62" s="44">
        <f t="shared" si="27"/>
        <v>-10</v>
      </c>
      <c r="E62" s="45">
        <f t="shared" si="28"/>
        <v>0.6</v>
      </c>
      <c r="F62" s="43"/>
      <c r="G62" s="44">
        <f>25</f>
        <v>25</v>
      </c>
      <c r="H62" s="44">
        <f t="shared" si="29"/>
        <v>-25</v>
      </c>
      <c r="I62" s="45">
        <f t="shared" si="30"/>
        <v>0</v>
      </c>
      <c r="J62" s="43"/>
      <c r="K62" s="44">
        <f>25</f>
        <v>25</v>
      </c>
      <c r="L62" s="44">
        <f t="shared" si="31"/>
        <v>-25</v>
      </c>
      <c r="M62" s="45">
        <f t="shared" si="32"/>
        <v>0</v>
      </c>
      <c r="N62" s="43"/>
      <c r="O62" s="44">
        <f>25</f>
        <v>25</v>
      </c>
      <c r="P62" s="44">
        <f t="shared" si="33"/>
        <v>-25</v>
      </c>
      <c r="Q62" s="45">
        <f t="shared" si="34"/>
        <v>0</v>
      </c>
      <c r="R62" s="43"/>
      <c r="S62" s="44">
        <f>25</f>
        <v>25</v>
      </c>
      <c r="T62" s="44">
        <f t="shared" si="35"/>
        <v>-25</v>
      </c>
      <c r="U62" s="45">
        <f t="shared" si="36"/>
        <v>0</v>
      </c>
      <c r="V62" s="43"/>
      <c r="W62" s="44">
        <f>25</f>
        <v>25</v>
      </c>
      <c r="X62" s="44">
        <f t="shared" si="37"/>
        <v>-25</v>
      </c>
      <c r="Y62" s="45">
        <f t="shared" si="38"/>
        <v>0</v>
      </c>
      <c r="Z62" s="43"/>
      <c r="AA62" s="44">
        <f>25</f>
        <v>25</v>
      </c>
      <c r="AB62" s="44">
        <f t="shared" si="39"/>
        <v>-25</v>
      </c>
      <c r="AC62" s="45">
        <f t="shared" si="40"/>
        <v>0</v>
      </c>
      <c r="AD62" s="43"/>
      <c r="AE62" s="44">
        <f>25</f>
        <v>25</v>
      </c>
      <c r="AF62" s="44">
        <f t="shared" si="41"/>
        <v>-25</v>
      </c>
      <c r="AG62" s="45">
        <f t="shared" si="42"/>
        <v>0</v>
      </c>
      <c r="AH62" s="43"/>
      <c r="AI62" s="44">
        <f>25</f>
        <v>25</v>
      </c>
      <c r="AJ62" s="44">
        <f t="shared" si="43"/>
        <v>-25</v>
      </c>
      <c r="AK62" s="45">
        <f t="shared" si="44"/>
        <v>0</v>
      </c>
      <c r="AL62" s="43"/>
      <c r="AM62" s="44">
        <f>25</f>
        <v>25</v>
      </c>
      <c r="AN62" s="44">
        <f t="shared" si="45"/>
        <v>-25</v>
      </c>
      <c r="AO62" s="45">
        <f t="shared" si="46"/>
        <v>0</v>
      </c>
      <c r="AP62" s="43"/>
      <c r="AQ62" s="44">
        <f>25</f>
        <v>25</v>
      </c>
      <c r="AR62" s="44">
        <f t="shared" si="47"/>
        <v>-25</v>
      </c>
      <c r="AS62" s="45">
        <f t="shared" si="48"/>
        <v>0</v>
      </c>
      <c r="AT62" s="43"/>
      <c r="AU62" s="44">
        <f>25</f>
        <v>25</v>
      </c>
      <c r="AV62" s="44">
        <f t="shared" si="49"/>
        <v>-25</v>
      </c>
      <c r="AW62" s="45">
        <f t="shared" si="50"/>
        <v>0</v>
      </c>
      <c r="AX62" s="44">
        <f t="shared" si="54"/>
        <v>15</v>
      </c>
      <c r="AY62" s="44">
        <f t="shared" si="54"/>
        <v>300</v>
      </c>
      <c r="AZ62" s="44">
        <f t="shared" si="52"/>
        <v>-285</v>
      </c>
      <c r="BA62" s="45">
        <f t="shared" si="53"/>
        <v>0.05</v>
      </c>
    </row>
    <row r="63" spans="1:53" x14ac:dyDescent="0.3">
      <c r="A63" s="42" t="s">
        <v>172</v>
      </c>
      <c r="B63" s="43"/>
      <c r="C63" s="43"/>
      <c r="D63" s="44">
        <f t="shared" si="27"/>
        <v>0</v>
      </c>
      <c r="E63" s="45" t="str">
        <f t="shared" si="28"/>
        <v/>
      </c>
      <c r="F63" s="43"/>
      <c r="G63" s="43"/>
      <c r="H63" s="44">
        <f t="shared" si="29"/>
        <v>0</v>
      </c>
      <c r="I63" s="45" t="str">
        <f t="shared" si="30"/>
        <v/>
      </c>
      <c r="J63" s="43"/>
      <c r="K63" s="43"/>
      <c r="L63" s="44">
        <f t="shared" si="31"/>
        <v>0</v>
      </c>
      <c r="M63" s="45" t="str">
        <f t="shared" si="32"/>
        <v/>
      </c>
      <c r="N63" s="43"/>
      <c r="O63" s="43"/>
      <c r="P63" s="44">
        <f t="shared" si="33"/>
        <v>0</v>
      </c>
      <c r="Q63" s="45" t="str">
        <f t="shared" si="34"/>
        <v/>
      </c>
      <c r="R63" s="43"/>
      <c r="S63" s="43"/>
      <c r="T63" s="44">
        <f t="shared" si="35"/>
        <v>0</v>
      </c>
      <c r="U63" s="45" t="str">
        <f t="shared" si="36"/>
        <v/>
      </c>
      <c r="V63" s="43"/>
      <c r="W63" s="43"/>
      <c r="X63" s="44">
        <f t="shared" si="37"/>
        <v>0</v>
      </c>
      <c r="Y63" s="45" t="str">
        <f t="shared" si="38"/>
        <v/>
      </c>
      <c r="Z63" s="43"/>
      <c r="AA63" s="43"/>
      <c r="AB63" s="44">
        <f t="shared" si="39"/>
        <v>0</v>
      </c>
      <c r="AC63" s="45" t="str">
        <f t="shared" si="40"/>
        <v/>
      </c>
      <c r="AD63" s="43"/>
      <c r="AE63" s="43"/>
      <c r="AF63" s="44">
        <f t="shared" si="41"/>
        <v>0</v>
      </c>
      <c r="AG63" s="45" t="str">
        <f t="shared" si="42"/>
        <v/>
      </c>
      <c r="AH63" s="43"/>
      <c r="AI63" s="43"/>
      <c r="AJ63" s="44">
        <f t="shared" si="43"/>
        <v>0</v>
      </c>
      <c r="AK63" s="45" t="str">
        <f t="shared" si="44"/>
        <v/>
      </c>
      <c r="AL63" s="43"/>
      <c r="AM63" s="43"/>
      <c r="AN63" s="44">
        <f t="shared" si="45"/>
        <v>0</v>
      </c>
      <c r="AO63" s="45" t="str">
        <f t="shared" si="46"/>
        <v/>
      </c>
      <c r="AP63" s="43"/>
      <c r="AQ63" s="43"/>
      <c r="AR63" s="44">
        <f t="shared" si="47"/>
        <v>0</v>
      </c>
      <c r="AS63" s="45" t="str">
        <f t="shared" si="48"/>
        <v/>
      </c>
      <c r="AT63" s="43"/>
      <c r="AU63" s="43"/>
      <c r="AV63" s="44">
        <f t="shared" si="49"/>
        <v>0</v>
      </c>
      <c r="AW63" s="45" t="str">
        <f t="shared" si="50"/>
        <v/>
      </c>
      <c r="AX63" s="44">
        <f t="shared" si="54"/>
        <v>0</v>
      </c>
      <c r="AY63" s="44">
        <f t="shared" si="54"/>
        <v>0</v>
      </c>
      <c r="AZ63" s="44">
        <f t="shared" si="52"/>
        <v>0</v>
      </c>
      <c r="BA63" s="45" t="str">
        <f t="shared" si="53"/>
        <v/>
      </c>
    </row>
    <row r="64" spans="1:53" x14ac:dyDescent="0.3">
      <c r="A64" s="42" t="s">
        <v>173</v>
      </c>
      <c r="B64" s="43"/>
      <c r="C64" s="44">
        <f>125</f>
        <v>125</v>
      </c>
      <c r="D64" s="44">
        <f t="shared" si="27"/>
        <v>-125</v>
      </c>
      <c r="E64" s="45">
        <f t="shared" si="28"/>
        <v>0</v>
      </c>
      <c r="F64" s="43"/>
      <c r="G64" s="44">
        <f>125</f>
        <v>125</v>
      </c>
      <c r="H64" s="44">
        <f t="shared" si="29"/>
        <v>-125</v>
      </c>
      <c r="I64" s="45">
        <f t="shared" si="30"/>
        <v>0</v>
      </c>
      <c r="J64" s="43"/>
      <c r="K64" s="44">
        <f>125</f>
        <v>125</v>
      </c>
      <c r="L64" s="44">
        <f t="shared" si="31"/>
        <v>-125</v>
      </c>
      <c r="M64" s="45">
        <f t="shared" si="32"/>
        <v>0</v>
      </c>
      <c r="N64" s="43"/>
      <c r="O64" s="44">
        <f>125</f>
        <v>125</v>
      </c>
      <c r="P64" s="44">
        <f t="shared" si="33"/>
        <v>-125</v>
      </c>
      <c r="Q64" s="45">
        <f t="shared" si="34"/>
        <v>0</v>
      </c>
      <c r="R64" s="43"/>
      <c r="S64" s="44">
        <f>125</f>
        <v>125</v>
      </c>
      <c r="T64" s="44">
        <f t="shared" si="35"/>
        <v>-125</v>
      </c>
      <c r="U64" s="45">
        <f t="shared" si="36"/>
        <v>0</v>
      </c>
      <c r="V64" s="43"/>
      <c r="W64" s="44">
        <f>125</f>
        <v>125</v>
      </c>
      <c r="X64" s="44">
        <f t="shared" si="37"/>
        <v>-125</v>
      </c>
      <c r="Y64" s="45">
        <f t="shared" si="38"/>
        <v>0</v>
      </c>
      <c r="Z64" s="43"/>
      <c r="AA64" s="44">
        <f>125</f>
        <v>125</v>
      </c>
      <c r="AB64" s="44">
        <f t="shared" si="39"/>
        <v>-125</v>
      </c>
      <c r="AC64" s="45">
        <f t="shared" si="40"/>
        <v>0</v>
      </c>
      <c r="AD64" s="43"/>
      <c r="AE64" s="44">
        <f>125</f>
        <v>125</v>
      </c>
      <c r="AF64" s="44">
        <f t="shared" si="41"/>
        <v>-125</v>
      </c>
      <c r="AG64" s="45">
        <f t="shared" si="42"/>
        <v>0</v>
      </c>
      <c r="AH64" s="43"/>
      <c r="AI64" s="44">
        <f>125</f>
        <v>125</v>
      </c>
      <c r="AJ64" s="44">
        <f t="shared" si="43"/>
        <v>-125</v>
      </c>
      <c r="AK64" s="45">
        <f t="shared" si="44"/>
        <v>0</v>
      </c>
      <c r="AL64" s="43"/>
      <c r="AM64" s="44">
        <f>125</f>
        <v>125</v>
      </c>
      <c r="AN64" s="44">
        <f t="shared" si="45"/>
        <v>-125</v>
      </c>
      <c r="AO64" s="45">
        <f t="shared" si="46"/>
        <v>0</v>
      </c>
      <c r="AP64" s="43"/>
      <c r="AQ64" s="44">
        <f>125</f>
        <v>125</v>
      </c>
      <c r="AR64" s="44">
        <f t="shared" si="47"/>
        <v>-125</v>
      </c>
      <c r="AS64" s="45">
        <f t="shared" si="48"/>
        <v>0</v>
      </c>
      <c r="AT64" s="43"/>
      <c r="AU64" s="44">
        <f>125</f>
        <v>125</v>
      </c>
      <c r="AV64" s="44">
        <f t="shared" si="49"/>
        <v>-125</v>
      </c>
      <c r="AW64" s="45">
        <f t="shared" si="50"/>
        <v>0</v>
      </c>
      <c r="AX64" s="44">
        <f t="shared" si="54"/>
        <v>0</v>
      </c>
      <c r="AY64" s="44">
        <f t="shared" si="54"/>
        <v>1500</v>
      </c>
      <c r="AZ64" s="44">
        <f t="shared" si="52"/>
        <v>-1500</v>
      </c>
      <c r="BA64" s="45">
        <f t="shared" si="53"/>
        <v>0</v>
      </c>
    </row>
    <row r="65" spans="1:53" x14ac:dyDescent="0.3">
      <c r="A65" s="42" t="s">
        <v>174</v>
      </c>
      <c r="B65" s="43"/>
      <c r="C65" s="44">
        <f>833.33</f>
        <v>833.33</v>
      </c>
      <c r="D65" s="44">
        <f t="shared" si="27"/>
        <v>-833.33</v>
      </c>
      <c r="E65" s="45">
        <f t="shared" si="28"/>
        <v>0</v>
      </c>
      <c r="F65" s="44">
        <f>695</f>
        <v>695</v>
      </c>
      <c r="G65" s="44">
        <f>833.33</f>
        <v>833.33</v>
      </c>
      <c r="H65" s="44">
        <f t="shared" si="29"/>
        <v>-138.33000000000004</v>
      </c>
      <c r="I65" s="45">
        <f t="shared" si="30"/>
        <v>0.83400333601334398</v>
      </c>
      <c r="J65" s="44">
        <f>1390</f>
        <v>1390</v>
      </c>
      <c r="K65" s="44">
        <f>833.33</f>
        <v>833.33</v>
      </c>
      <c r="L65" s="44">
        <f t="shared" si="31"/>
        <v>556.66999999999996</v>
      </c>
      <c r="M65" s="45">
        <f t="shared" si="32"/>
        <v>1.668006672026688</v>
      </c>
      <c r="N65" s="44">
        <f>695</f>
        <v>695</v>
      </c>
      <c r="O65" s="44">
        <f>833.33</f>
        <v>833.33</v>
      </c>
      <c r="P65" s="44">
        <f t="shared" si="33"/>
        <v>-138.33000000000004</v>
      </c>
      <c r="Q65" s="45">
        <f t="shared" si="34"/>
        <v>0.83400333601334398</v>
      </c>
      <c r="R65" s="44">
        <f>695</f>
        <v>695</v>
      </c>
      <c r="S65" s="44">
        <f>833.33</f>
        <v>833.33</v>
      </c>
      <c r="T65" s="44">
        <f t="shared" si="35"/>
        <v>-138.33000000000004</v>
      </c>
      <c r="U65" s="45">
        <f t="shared" si="36"/>
        <v>0.83400333601334398</v>
      </c>
      <c r="V65" s="44">
        <f>695</f>
        <v>695</v>
      </c>
      <c r="W65" s="44">
        <f>833.33</f>
        <v>833.33</v>
      </c>
      <c r="X65" s="44">
        <f t="shared" si="37"/>
        <v>-138.33000000000004</v>
      </c>
      <c r="Y65" s="45">
        <f t="shared" si="38"/>
        <v>0.83400333601334398</v>
      </c>
      <c r="Z65" s="44">
        <f>695</f>
        <v>695</v>
      </c>
      <c r="AA65" s="44">
        <f>833.33</f>
        <v>833.33</v>
      </c>
      <c r="AB65" s="44">
        <f t="shared" si="39"/>
        <v>-138.33000000000004</v>
      </c>
      <c r="AC65" s="45">
        <f t="shared" si="40"/>
        <v>0.83400333601334398</v>
      </c>
      <c r="AD65" s="44">
        <f>695</f>
        <v>695</v>
      </c>
      <c r="AE65" s="44">
        <f>833.33</f>
        <v>833.33</v>
      </c>
      <c r="AF65" s="44">
        <f t="shared" si="41"/>
        <v>-138.33000000000004</v>
      </c>
      <c r="AG65" s="45">
        <f t="shared" si="42"/>
        <v>0.83400333601334398</v>
      </c>
      <c r="AH65" s="43"/>
      <c r="AI65" s="44">
        <f>833.33</f>
        <v>833.33</v>
      </c>
      <c r="AJ65" s="44">
        <f t="shared" si="43"/>
        <v>-833.33</v>
      </c>
      <c r="AK65" s="45">
        <f t="shared" si="44"/>
        <v>0</v>
      </c>
      <c r="AL65" s="43"/>
      <c r="AM65" s="44">
        <f>833.33</f>
        <v>833.33</v>
      </c>
      <c r="AN65" s="44">
        <f t="shared" si="45"/>
        <v>-833.33</v>
      </c>
      <c r="AO65" s="45">
        <f t="shared" si="46"/>
        <v>0</v>
      </c>
      <c r="AP65" s="43"/>
      <c r="AQ65" s="44">
        <f>833.33</f>
        <v>833.33</v>
      </c>
      <c r="AR65" s="44">
        <f t="shared" si="47"/>
        <v>-833.33</v>
      </c>
      <c r="AS65" s="45">
        <f t="shared" si="48"/>
        <v>0</v>
      </c>
      <c r="AT65" s="43"/>
      <c r="AU65" s="44">
        <f>833.37</f>
        <v>833.37</v>
      </c>
      <c r="AV65" s="44">
        <f t="shared" si="49"/>
        <v>-833.37</v>
      </c>
      <c r="AW65" s="45">
        <f t="shared" si="50"/>
        <v>0</v>
      </c>
      <c r="AX65" s="44">
        <f t="shared" si="54"/>
        <v>5560</v>
      </c>
      <c r="AY65" s="44">
        <f t="shared" si="54"/>
        <v>10000.000000000002</v>
      </c>
      <c r="AZ65" s="44">
        <f t="shared" si="52"/>
        <v>-4440.0000000000018</v>
      </c>
      <c r="BA65" s="45">
        <f t="shared" si="53"/>
        <v>0.55599999999999994</v>
      </c>
    </row>
    <row r="66" spans="1:53" x14ac:dyDescent="0.3">
      <c r="A66" s="42" t="s">
        <v>175</v>
      </c>
      <c r="B66" s="44">
        <f>2197.8</f>
        <v>2197.8000000000002</v>
      </c>
      <c r="C66" s="44">
        <f>1250</f>
        <v>1250</v>
      </c>
      <c r="D66" s="44">
        <f t="shared" si="27"/>
        <v>947.80000000000018</v>
      </c>
      <c r="E66" s="45">
        <f t="shared" si="28"/>
        <v>1.7582400000000002</v>
      </c>
      <c r="F66" s="43"/>
      <c r="G66" s="44">
        <f>1250</f>
        <v>1250</v>
      </c>
      <c r="H66" s="44">
        <f t="shared" si="29"/>
        <v>-1250</v>
      </c>
      <c r="I66" s="45">
        <f t="shared" si="30"/>
        <v>0</v>
      </c>
      <c r="J66" s="44">
        <f>4850</f>
        <v>4850</v>
      </c>
      <c r="K66" s="44">
        <f>1250</f>
        <v>1250</v>
      </c>
      <c r="L66" s="44">
        <f t="shared" si="31"/>
        <v>3600</v>
      </c>
      <c r="M66" s="45">
        <f t="shared" si="32"/>
        <v>3.88</v>
      </c>
      <c r="N66" s="44">
        <f>2737.25</f>
        <v>2737.25</v>
      </c>
      <c r="O66" s="44">
        <f>1250</f>
        <v>1250</v>
      </c>
      <c r="P66" s="44">
        <f t="shared" si="33"/>
        <v>1487.25</v>
      </c>
      <c r="Q66" s="45">
        <f t="shared" si="34"/>
        <v>2.1898</v>
      </c>
      <c r="R66" s="43"/>
      <c r="S66" s="44">
        <f>1250</f>
        <v>1250</v>
      </c>
      <c r="T66" s="44">
        <f t="shared" si="35"/>
        <v>-1250</v>
      </c>
      <c r="U66" s="45">
        <f t="shared" si="36"/>
        <v>0</v>
      </c>
      <c r="V66" s="43"/>
      <c r="W66" s="44">
        <f>1250</f>
        <v>1250</v>
      </c>
      <c r="X66" s="44">
        <f t="shared" si="37"/>
        <v>-1250</v>
      </c>
      <c r="Y66" s="45">
        <f t="shared" si="38"/>
        <v>0</v>
      </c>
      <c r="Z66" s="44">
        <f>47.25</f>
        <v>47.25</v>
      </c>
      <c r="AA66" s="44">
        <f>1250</f>
        <v>1250</v>
      </c>
      <c r="AB66" s="44">
        <f t="shared" si="39"/>
        <v>-1202.75</v>
      </c>
      <c r="AC66" s="45">
        <f t="shared" si="40"/>
        <v>3.78E-2</v>
      </c>
      <c r="AD66" s="43"/>
      <c r="AE66" s="44">
        <f>1250</f>
        <v>1250</v>
      </c>
      <c r="AF66" s="44">
        <f t="shared" si="41"/>
        <v>-1250</v>
      </c>
      <c r="AG66" s="45">
        <f t="shared" si="42"/>
        <v>0</v>
      </c>
      <c r="AH66" s="43"/>
      <c r="AI66" s="44">
        <f>1250</f>
        <v>1250</v>
      </c>
      <c r="AJ66" s="44">
        <f t="shared" si="43"/>
        <v>-1250</v>
      </c>
      <c r="AK66" s="45">
        <f t="shared" si="44"/>
        <v>0</v>
      </c>
      <c r="AL66" s="43"/>
      <c r="AM66" s="44">
        <f>1250</f>
        <v>1250</v>
      </c>
      <c r="AN66" s="44">
        <f t="shared" si="45"/>
        <v>-1250</v>
      </c>
      <c r="AO66" s="45">
        <f t="shared" si="46"/>
        <v>0</v>
      </c>
      <c r="AP66" s="43"/>
      <c r="AQ66" s="44">
        <f>1250</f>
        <v>1250</v>
      </c>
      <c r="AR66" s="44">
        <f t="shared" si="47"/>
        <v>-1250</v>
      </c>
      <c r="AS66" s="45">
        <f t="shared" si="48"/>
        <v>0</v>
      </c>
      <c r="AT66" s="43"/>
      <c r="AU66" s="44">
        <f>1250</f>
        <v>1250</v>
      </c>
      <c r="AV66" s="44">
        <f t="shared" si="49"/>
        <v>-1250</v>
      </c>
      <c r="AW66" s="45">
        <f t="shared" si="50"/>
        <v>0</v>
      </c>
      <c r="AX66" s="44">
        <f t="shared" si="54"/>
        <v>9832.2999999999993</v>
      </c>
      <c r="AY66" s="44">
        <f t="shared" si="54"/>
        <v>15000</v>
      </c>
      <c r="AZ66" s="44">
        <f t="shared" si="52"/>
        <v>-5167.7000000000007</v>
      </c>
      <c r="BA66" s="45">
        <f t="shared" si="53"/>
        <v>0.65548666666666666</v>
      </c>
    </row>
    <row r="67" spans="1:53" x14ac:dyDescent="0.3">
      <c r="A67" s="42" t="s">
        <v>176</v>
      </c>
      <c r="B67" s="43"/>
      <c r="C67" s="44">
        <f>2083.33</f>
        <v>2083.33</v>
      </c>
      <c r="D67" s="44">
        <f t="shared" si="27"/>
        <v>-2083.33</v>
      </c>
      <c r="E67" s="45">
        <f t="shared" si="28"/>
        <v>0</v>
      </c>
      <c r="F67" s="43"/>
      <c r="G67" s="44">
        <f>2083.33</f>
        <v>2083.33</v>
      </c>
      <c r="H67" s="44">
        <f t="shared" si="29"/>
        <v>-2083.33</v>
      </c>
      <c r="I67" s="45">
        <f t="shared" si="30"/>
        <v>0</v>
      </c>
      <c r="J67" s="44">
        <f>3391.48</f>
        <v>3391.48</v>
      </c>
      <c r="K67" s="44">
        <f>2083.33</f>
        <v>2083.33</v>
      </c>
      <c r="L67" s="44">
        <f t="shared" si="31"/>
        <v>1308.1500000000001</v>
      </c>
      <c r="M67" s="45">
        <f t="shared" si="32"/>
        <v>1.6279130046608075</v>
      </c>
      <c r="N67" s="43"/>
      <c r="O67" s="44">
        <f>2083.33</f>
        <v>2083.33</v>
      </c>
      <c r="P67" s="44">
        <f t="shared" si="33"/>
        <v>-2083.33</v>
      </c>
      <c r="Q67" s="45">
        <f t="shared" si="34"/>
        <v>0</v>
      </c>
      <c r="R67" s="44">
        <f>100</f>
        <v>100</v>
      </c>
      <c r="S67" s="44">
        <f>2083.33</f>
        <v>2083.33</v>
      </c>
      <c r="T67" s="44">
        <f t="shared" si="35"/>
        <v>-1983.33</v>
      </c>
      <c r="U67" s="45">
        <f t="shared" si="36"/>
        <v>4.800007680012288E-2</v>
      </c>
      <c r="V67" s="44">
        <f>6000</f>
        <v>6000</v>
      </c>
      <c r="W67" s="44">
        <f>2083.33</f>
        <v>2083.33</v>
      </c>
      <c r="X67" s="44">
        <f t="shared" si="37"/>
        <v>3916.67</v>
      </c>
      <c r="Y67" s="45">
        <f t="shared" si="38"/>
        <v>2.8800046080073729</v>
      </c>
      <c r="Z67" s="43"/>
      <c r="AA67" s="44">
        <f>2083.33</f>
        <v>2083.33</v>
      </c>
      <c r="AB67" s="44">
        <f t="shared" si="39"/>
        <v>-2083.33</v>
      </c>
      <c r="AC67" s="45">
        <f t="shared" si="40"/>
        <v>0</v>
      </c>
      <c r="AD67" s="44">
        <f>91000</f>
        <v>91000</v>
      </c>
      <c r="AE67" s="44">
        <f>2083.33</f>
        <v>2083.33</v>
      </c>
      <c r="AF67" s="44">
        <f t="shared" si="41"/>
        <v>88916.67</v>
      </c>
      <c r="AG67" s="45">
        <f t="shared" si="42"/>
        <v>43.680069888111824</v>
      </c>
      <c r="AH67" s="43"/>
      <c r="AI67" s="44">
        <f>2083.33</f>
        <v>2083.33</v>
      </c>
      <c r="AJ67" s="44">
        <f t="shared" si="43"/>
        <v>-2083.33</v>
      </c>
      <c r="AK67" s="45">
        <f t="shared" si="44"/>
        <v>0</v>
      </c>
      <c r="AL67" s="43"/>
      <c r="AM67" s="44">
        <f>2083.33</f>
        <v>2083.33</v>
      </c>
      <c r="AN67" s="44">
        <f t="shared" si="45"/>
        <v>-2083.33</v>
      </c>
      <c r="AO67" s="45">
        <f t="shared" si="46"/>
        <v>0</v>
      </c>
      <c r="AP67" s="43"/>
      <c r="AQ67" s="44">
        <f>2083.33</f>
        <v>2083.33</v>
      </c>
      <c r="AR67" s="44">
        <f t="shared" si="47"/>
        <v>-2083.33</v>
      </c>
      <c r="AS67" s="45">
        <f t="shared" si="48"/>
        <v>0</v>
      </c>
      <c r="AT67" s="43"/>
      <c r="AU67" s="44">
        <f>2083.37</f>
        <v>2083.37</v>
      </c>
      <c r="AV67" s="44">
        <f t="shared" si="49"/>
        <v>-2083.37</v>
      </c>
      <c r="AW67" s="45">
        <f t="shared" si="50"/>
        <v>0</v>
      </c>
      <c r="AX67" s="44">
        <f t="shared" si="54"/>
        <v>100491.48</v>
      </c>
      <c r="AY67" s="44">
        <f t="shared" si="54"/>
        <v>25000.000000000004</v>
      </c>
      <c r="AZ67" s="44">
        <f t="shared" si="52"/>
        <v>75491.48</v>
      </c>
      <c r="BA67" s="45">
        <f t="shared" si="53"/>
        <v>4.0196591999999995</v>
      </c>
    </row>
    <row r="68" spans="1:53" x14ac:dyDescent="0.3">
      <c r="A68" s="42" t="s">
        <v>177</v>
      </c>
      <c r="B68" s="43"/>
      <c r="C68" s="44">
        <f>291.67</f>
        <v>291.67</v>
      </c>
      <c r="D68" s="44">
        <f t="shared" si="27"/>
        <v>-291.67</v>
      </c>
      <c r="E68" s="45">
        <f t="shared" si="28"/>
        <v>0</v>
      </c>
      <c r="F68" s="43"/>
      <c r="G68" s="44">
        <f>291.67</f>
        <v>291.67</v>
      </c>
      <c r="H68" s="44">
        <f t="shared" si="29"/>
        <v>-291.67</v>
      </c>
      <c r="I68" s="45">
        <f t="shared" si="30"/>
        <v>0</v>
      </c>
      <c r="J68" s="44">
        <f>330.1</f>
        <v>330.1</v>
      </c>
      <c r="K68" s="44">
        <f>291.67</f>
        <v>291.67</v>
      </c>
      <c r="L68" s="44">
        <f t="shared" si="31"/>
        <v>38.430000000000007</v>
      </c>
      <c r="M68" s="45">
        <f t="shared" si="32"/>
        <v>1.1317584941886378</v>
      </c>
      <c r="N68" s="43"/>
      <c r="O68" s="44">
        <f>291.67</f>
        <v>291.67</v>
      </c>
      <c r="P68" s="44">
        <f t="shared" si="33"/>
        <v>-291.67</v>
      </c>
      <c r="Q68" s="45">
        <f t="shared" si="34"/>
        <v>0</v>
      </c>
      <c r="R68" s="43"/>
      <c r="S68" s="44">
        <f>291.67</f>
        <v>291.67</v>
      </c>
      <c r="T68" s="44">
        <f t="shared" si="35"/>
        <v>-291.67</v>
      </c>
      <c r="U68" s="45">
        <f t="shared" si="36"/>
        <v>0</v>
      </c>
      <c r="V68" s="44">
        <f>330.1</f>
        <v>330.1</v>
      </c>
      <c r="W68" s="44">
        <f>291.67</f>
        <v>291.67</v>
      </c>
      <c r="X68" s="44">
        <f t="shared" si="37"/>
        <v>38.430000000000007</v>
      </c>
      <c r="Y68" s="45">
        <f t="shared" si="38"/>
        <v>1.1317584941886378</v>
      </c>
      <c r="Z68" s="43"/>
      <c r="AA68" s="44">
        <f>291.67</f>
        <v>291.67</v>
      </c>
      <c r="AB68" s="44">
        <f t="shared" si="39"/>
        <v>-291.67</v>
      </c>
      <c r="AC68" s="45">
        <f t="shared" si="40"/>
        <v>0</v>
      </c>
      <c r="AD68" s="43"/>
      <c r="AE68" s="44">
        <f>291.67</f>
        <v>291.67</v>
      </c>
      <c r="AF68" s="44">
        <f t="shared" si="41"/>
        <v>-291.67</v>
      </c>
      <c r="AG68" s="45">
        <f t="shared" si="42"/>
        <v>0</v>
      </c>
      <c r="AH68" s="43"/>
      <c r="AI68" s="44">
        <f>291.67</f>
        <v>291.67</v>
      </c>
      <c r="AJ68" s="44">
        <f t="shared" si="43"/>
        <v>-291.67</v>
      </c>
      <c r="AK68" s="45">
        <f t="shared" si="44"/>
        <v>0</v>
      </c>
      <c r="AL68" s="43"/>
      <c r="AM68" s="44">
        <f>291.67</f>
        <v>291.67</v>
      </c>
      <c r="AN68" s="44">
        <f t="shared" si="45"/>
        <v>-291.67</v>
      </c>
      <c r="AO68" s="45">
        <f t="shared" si="46"/>
        <v>0</v>
      </c>
      <c r="AP68" s="43"/>
      <c r="AQ68" s="44">
        <f>291.67</f>
        <v>291.67</v>
      </c>
      <c r="AR68" s="44">
        <f t="shared" si="47"/>
        <v>-291.67</v>
      </c>
      <c r="AS68" s="45">
        <f t="shared" si="48"/>
        <v>0</v>
      </c>
      <c r="AT68" s="43"/>
      <c r="AU68" s="44">
        <f>291.63</f>
        <v>291.63</v>
      </c>
      <c r="AV68" s="44">
        <f t="shared" si="49"/>
        <v>-291.63</v>
      </c>
      <c r="AW68" s="45">
        <f t="shared" si="50"/>
        <v>0</v>
      </c>
      <c r="AX68" s="44">
        <f t="shared" si="54"/>
        <v>660.2</v>
      </c>
      <c r="AY68" s="44">
        <f t="shared" si="54"/>
        <v>3500.0000000000005</v>
      </c>
      <c r="AZ68" s="44">
        <f t="shared" si="52"/>
        <v>-2839.8</v>
      </c>
      <c r="BA68" s="45">
        <f t="shared" si="53"/>
        <v>0.18862857142857142</v>
      </c>
    </row>
    <row r="69" spans="1:53" x14ac:dyDescent="0.3">
      <c r="A69" s="42" t="s">
        <v>178</v>
      </c>
      <c r="B69" s="44">
        <f>24.99</f>
        <v>24.99</v>
      </c>
      <c r="C69" s="44">
        <f>250</f>
        <v>250</v>
      </c>
      <c r="D69" s="44">
        <f t="shared" si="27"/>
        <v>-225.01</v>
      </c>
      <c r="E69" s="45">
        <f t="shared" si="28"/>
        <v>9.9959999999999993E-2</v>
      </c>
      <c r="F69" s="44">
        <f>266.53</f>
        <v>266.52999999999997</v>
      </c>
      <c r="G69" s="44">
        <f>250</f>
        <v>250</v>
      </c>
      <c r="H69" s="44">
        <f t="shared" si="29"/>
        <v>16.529999999999973</v>
      </c>
      <c r="I69" s="45">
        <f t="shared" si="30"/>
        <v>1.06612</v>
      </c>
      <c r="J69" s="43"/>
      <c r="K69" s="44">
        <f>250</f>
        <v>250</v>
      </c>
      <c r="L69" s="44">
        <f t="shared" si="31"/>
        <v>-250</v>
      </c>
      <c r="M69" s="45">
        <f t="shared" si="32"/>
        <v>0</v>
      </c>
      <c r="N69" s="44">
        <f>76.17</f>
        <v>76.17</v>
      </c>
      <c r="O69" s="44">
        <f>250</f>
        <v>250</v>
      </c>
      <c r="P69" s="44">
        <f t="shared" si="33"/>
        <v>-173.82999999999998</v>
      </c>
      <c r="Q69" s="45">
        <f t="shared" si="34"/>
        <v>0.30468000000000001</v>
      </c>
      <c r="R69" s="44">
        <f>30.65</f>
        <v>30.65</v>
      </c>
      <c r="S69" s="44">
        <f>250</f>
        <v>250</v>
      </c>
      <c r="T69" s="44">
        <f t="shared" si="35"/>
        <v>-219.35</v>
      </c>
      <c r="U69" s="45">
        <f t="shared" si="36"/>
        <v>0.1226</v>
      </c>
      <c r="V69" s="43"/>
      <c r="W69" s="44">
        <f>250</f>
        <v>250</v>
      </c>
      <c r="X69" s="44">
        <f t="shared" si="37"/>
        <v>-250</v>
      </c>
      <c r="Y69" s="45">
        <f t="shared" si="38"/>
        <v>0</v>
      </c>
      <c r="Z69" s="44">
        <f>113.34</f>
        <v>113.34</v>
      </c>
      <c r="AA69" s="44">
        <f>250</f>
        <v>250</v>
      </c>
      <c r="AB69" s="44">
        <f t="shared" si="39"/>
        <v>-136.66</v>
      </c>
      <c r="AC69" s="45">
        <f t="shared" si="40"/>
        <v>0.45336000000000004</v>
      </c>
      <c r="AD69" s="44">
        <f>209.51</f>
        <v>209.51</v>
      </c>
      <c r="AE69" s="44">
        <f>250</f>
        <v>250</v>
      </c>
      <c r="AF69" s="44">
        <f t="shared" si="41"/>
        <v>-40.490000000000009</v>
      </c>
      <c r="AG69" s="45">
        <f t="shared" si="42"/>
        <v>0.83804000000000001</v>
      </c>
      <c r="AH69" s="43"/>
      <c r="AI69" s="44">
        <f>250</f>
        <v>250</v>
      </c>
      <c r="AJ69" s="44">
        <f t="shared" si="43"/>
        <v>-250</v>
      </c>
      <c r="AK69" s="45">
        <f t="shared" si="44"/>
        <v>0</v>
      </c>
      <c r="AL69" s="43"/>
      <c r="AM69" s="44">
        <f>250</f>
        <v>250</v>
      </c>
      <c r="AN69" s="44">
        <f t="shared" si="45"/>
        <v>-250</v>
      </c>
      <c r="AO69" s="45">
        <f t="shared" si="46"/>
        <v>0</v>
      </c>
      <c r="AP69" s="43"/>
      <c r="AQ69" s="44">
        <f>250</f>
        <v>250</v>
      </c>
      <c r="AR69" s="44">
        <f t="shared" si="47"/>
        <v>-250</v>
      </c>
      <c r="AS69" s="45">
        <f t="shared" si="48"/>
        <v>0</v>
      </c>
      <c r="AT69" s="43"/>
      <c r="AU69" s="44">
        <f>250</f>
        <v>250</v>
      </c>
      <c r="AV69" s="44">
        <f t="shared" si="49"/>
        <v>-250</v>
      </c>
      <c r="AW69" s="45">
        <f t="shared" si="50"/>
        <v>0</v>
      </c>
      <c r="AX69" s="44">
        <f t="shared" si="54"/>
        <v>721.18999999999994</v>
      </c>
      <c r="AY69" s="44">
        <f t="shared" si="54"/>
        <v>3000</v>
      </c>
      <c r="AZ69" s="44">
        <f t="shared" si="52"/>
        <v>-2278.81</v>
      </c>
      <c r="BA69" s="45">
        <f t="shared" si="53"/>
        <v>0.24039666666666665</v>
      </c>
    </row>
    <row r="70" spans="1:53" x14ac:dyDescent="0.3">
      <c r="A70" s="42" t="s">
        <v>179</v>
      </c>
      <c r="B70" s="43"/>
      <c r="C70" s="44">
        <f>125</f>
        <v>125</v>
      </c>
      <c r="D70" s="44">
        <f t="shared" si="27"/>
        <v>-125</v>
      </c>
      <c r="E70" s="45">
        <f t="shared" si="28"/>
        <v>0</v>
      </c>
      <c r="F70" s="43"/>
      <c r="G70" s="44">
        <f>125</f>
        <v>125</v>
      </c>
      <c r="H70" s="44">
        <f t="shared" si="29"/>
        <v>-125</v>
      </c>
      <c r="I70" s="45">
        <f t="shared" si="30"/>
        <v>0</v>
      </c>
      <c r="J70" s="43"/>
      <c r="K70" s="44">
        <f>125</f>
        <v>125</v>
      </c>
      <c r="L70" s="44">
        <f t="shared" si="31"/>
        <v>-125</v>
      </c>
      <c r="M70" s="45">
        <f t="shared" si="32"/>
        <v>0</v>
      </c>
      <c r="N70" s="43"/>
      <c r="O70" s="44">
        <f>125</f>
        <v>125</v>
      </c>
      <c r="P70" s="44">
        <f t="shared" si="33"/>
        <v>-125</v>
      </c>
      <c r="Q70" s="45">
        <f t="shared" si="34"/>
        <v>0</v>
      </c>
      <c r="R70" s="43"/>
      <c r="S70" s="44">
        <f>125</f>
        <v>125</v>
      </c>
      <c r="T70" s="44">
        <f t="shared" si="35"/>
        <v>-125</v>
      </c>
      <c r="U70" s="45">
        <f t="shared" si="36"/>
        <v>0</v>
      </c>
      <c r="V70" s="43"/>
      <c r="W70" s="44">
        <f>125</f>
        <v>125</v>
      </c>
      <c r="X70" s="44">
        <f t="shared" si="37"/>
        <v>-125</v>
      </c>
      <c r="Y70" s="45">
        <f t="shared" si="38"/>
        <v>0</v>
      </c>
      <c r="Z70" s="43"/>
      <c r="AA70" s="44">
        <f>125</f>
        <v>125</v>
      </c>
      <c r="AB70" s="44">
        <f t="shared" si="39"/>
        <v>-125</v>
      </c>
      <c r="AC70" s="45">
        <f t="shared" si="40"/>
        <v>0</v>
      </c>
      <c r="AD70" s="43"/>
      <c r="AE70" s="44">
        <f>125</f>
        <v>125</v>
      </c>
      <c r="AF70" s="44">
        <f t="shared" si="41"/>
        <v>-125</v>
      </c>
      <c r="AG70" s="45">
        <f t="shared" si="42"/>
        <v>0</v>
      </c>
      <c r="AH70" s="43"/>
      <c r="AI70" s="44">
        <f>125</f>
        <v>125</v>
      </c>
      <c r="AJ70" s="44">
        <f t="shared" si="43"/>
        <v>-125</v>
      </c>
      <c r="AK70" s="45">
        <f t="shared" si="44"/>
        <v>0</v>
      </c>
      <c r="AL70" s="43"/>
      <c r="AM70" s="44">
        <f>125</f>
        <v>125</v>
      </c>
      <c r="AN70" s="44">
        <f t="shared" si="45"/>
        <v>-125</v>
      </c>
      <c r="AO70" s="45">
        <f t="shared" si="46"/>
        <v>0</v>
      </c>
      <c r="AP70" s="43"/>
      <c r="AQ70" s="44">
        <f>125</f>
        <v>125</v>
      </c>
      <c r="AR70" s="44">
        <f t="shared" si="47"/>
        <v>-125</v>
      </c>
      <c r="AS70" s="45">
        <f t="shared" si="48"/>
        <v>0</v>
      </c>
      <c r="AT70" s="43"/>
      <c r="AU70" s="44">
        <f>125</f>
        <v>125</v>
      </c>
      <c r="AV70" s="44">
        <f t="shared" si="49"/>
        <v>-125</v>
      </c>
      <c r="AW70" s="45">
        <f t="shared" si="50"/>
        <v>0</v>
      </c>
      <c r="AX70" s="44">
        <f t="shared" si="54"/>
        <v>0</v>
      </c>
      <c r="AY70" s="44">
        <f t="shared" si="54"/>
        <v>1500</v>
      </c>
      <c r="AZ70" s="44">
        <f t="shared" si="52"/>
        <v>-1500</v>
      </c>
      <c r="BA70" s="45">
        <f t="shared" si="53"/>
        <v>0</v>
      </c>
    </row>
    <row r="71" spans="1:53" x14ac:dyDescent="0.3">
      <c r="A71" s="42" t="s">
        <v>180</v>
      </c>
      <c r="B71" s="46">
        <f>(((((((B63)+(B64))+(B65))+(B66))+(B67))+(B68))+(B69))+(B70)</f>
        <v>2222.79</v>
      </c>
      <c r="C71" s="46">
        <f>(((((((C63)+(C64))+(C65))+(C66))+(C67))+(C68))+(C69))+(C70)</f>
        <v>4958.33</v>
      </c>
      <c r="D71" s="46">
        <f t="shared" si="27"/>
        <v>-2735.54</v>
      </c>
      <c r="E71" s="47">
        <f t="shared" si="28"/>
        <v>0.44829408288677841</v>
      </c>
      <c r="F71" s="46">
        <f>(((((((F63)+(F64))+(F65))+(F66))+(F67))+(F68))+(F69))+(F70)</f>
        <v>961.53</v>
      </c>
      <c r="G71" s="46">
        <f>(((((((G63)+(G64))+(G65))+(G66))+(G67))+(G68))+(G69))+(G70)</f>
        <v>4958.33</v>
      </c>
      <c r="H71" s="46">
        <f t="shared" si="29"/>
        <v>-3996.8</v>
      </c>
      <c r="I71" s="47">
        <f t="shared" si="30"/>
        <v>0.19392214717455272</v>
      </c>
      <c r="J71" s="46">
        <f>(((((((J63)+(J64))+(J65))+(J66))+(J67))+(J68))+(J69))+(J70)</f>
        <v>9961.58</v>
      </c>
      <c r="K71" s="46">
        <f>(((((((K63)+(K64))+(K65))+(K66))+(K67))+(K68))+(K69))+(K70)</f>
        <v>4958.33</v>
      </c>
      <c r="L71" s="46">
        <f t="shared" si="31"/>
        <v>5003.25</v>
      </c>
      <c r="M71" s="47">
        <f t="shared" si="32"/>
        <v>2.0090595018887409</v>
      </c>
      <c r="N71" s="46">
        <f>(((((((N63)+(N64))+(N65))+(N66))+(N67))+(N68))+(N69))+(N70)</f>
        <v>3508.42</v>
      </c>
      <c r="O71" s="46">
        <f>(((((((O63)+(O64))+(O65))+(O66))+(O67))+(O68))+(O69))+(O70)</f>
        <v>4958.33</v>
      </c>
      <c r="P71" s="46">
        <f t="shared" si="33"/>
        <v>-1449.9099999999999</v>
      </c>
      <c r="Q71" s="47">
        <f t="shared" si="34"/>
        <v>0.70758097988637303</v>
      </c>
      <c r="R71" s="46">
        <f>(((((((R63)+(R64))+(R65))+(R66))+(R67))+(R68))+(R69))+(R70)</f>
        <v>825.65</v>
      </c>
      <c r="S71" s="46">
        <f>(((((((S63)+(S64))+(S65))+(S66))+(S67))+(S68))+(S69))+(S70)</f>
        <v>4958.33</v>
      </c>
      <c r="T71" s="46">
        <f t="shared" si="35"/>
        <v>-4132.68</v>
      </c>
      <c r="U71" s="47">
        <f t="shared" si="36"/>
        <v>0.16651775900353546</v>
      </c>
      <c r="V71" s="46">
        <f>(((((((V63)+(V64))+(V65))+(V66))+(V67))+(V68))+(V69))+(V70)</f>
        <v>7025.1</v>
      </c>
      <c r="W71" s="46">
        <f>(((((((W63)+(W64))+(W65))+(W66))+(W67))+(W68))+(W69))+(W70)</f>
        <v>4958.33</v>
      </c>
      <c r="X71" s="46">
        <f t="shared" si="37"/>
        <v>2066.7700000000004</v>
      </c>
      <c r="Y71" s="47">
        <f t="shared" si="38"/>
        <v>1.416827843245609</v>
      </c>
      <c r="Z71" s="46">
        <f>(((((((Z63)+(Z64))+(Z65))+(Z66))+(Z67))+(Z68))+(Z69))+(Z70)</f>
        <v>855.59</v>
      </c>
      <c r="AA71" s="46">
        <f>(((((((AA63)+(AA64))+(AA65))+(AA66))+(AA67))+(AA68))+(AA69))+(AA70)</f>
        <v>4958.33</v>
      </c>
      <c r="AB71" s="46">
        <f t="shared" si="39"/>
        <v>-4102.74</v>
      </c>
      <c r="AC71" s="47">
        <f t="shared" si="40"/>
        <v>0.17255608239064363</v>
      </c>
      <c r="AD71" s="46">
        <f>(((((((AD63)+(AD64))+(AD65))+(AD66))+(AD67))+(AD68))+(AD69))+(AD70)</f>
        <v>91904.51</v>
      </c>
      <c r="AE71" s="46">
        <f>(((((((AE63)+(AE64))+(AE65))+(AE66))+(AE67))+(AE68))+(AE69))+(AE70)</f>
        <v>4958.33</v>
      </c>
      <c r="AF71" s="46">
        <f t="shared" si="41"/>
        <v>86946.18</v>
      </c>
      <c r="AG71" s="47">
        <f t="shared" si="42"/>
        <v>18.535375822101393</v>
      </c>
      <c r="AH71" s="46">
        <f>(((((((AH63)+(AH64))+(AH65))+(AH66))+(AH67))+(AH68))+(AH69))+(AH70)</f>
        <v>0</v>
      </c>
      <c r="AI71" s="46">
        <f>(((((((AI63)+(AI64))+(AI65))+(AI66))+(AI67))+(AI68))+(AI69))+(AI70)</f>
        <v>4958.33</v>
      </c>
      <c r="AJ71" s="46">
        <f t="shared" si="43"/>
        <v>-4958.33</v>
      </c>
      <c r="AK71" s="47">
        <f t="shared" si="44"/>
        <v>0</v>
      </c>
      <c r="AL71" s="46">
        <f>(((((((AL63)+(AL64))+(AL65))+(AL66))+(AL67))+(AL68))+(AL69))+(AL70)</f>
        <v>0</v>
      </c>
      <c r="AM71" s="46">
        <f>(((((((AM63)+(AM64))+(AM65))+(AM66))+(AM67))+(AM68))+(AM69))+(AM70)</f>
        <v>4958.33</v>
      </c>
      <c r="AN71" s="46">
        <f t="shared" si="45"/>
        <v>-4958.33</v>
      </c>
      <c r="AO71" s="47">
        <f t="shared" si="46"/>
        <v>0</v>
      </c>
      <c r="AP71" s="46">
        <f>(((((((AP63)+(AP64))+(AP65))+(AP66))+(AP67))+(AP68))+(AP69))+(AP70)</f>
        <v>0</v>
      </c>
      <c r="AQ71" s="46">
        <f>(((((((AQ63)+(AQ64))+(AQ65))+(AQ66))+(AQ67))+(AQ68))+(AQ69))+(AQ70)</f>
        <v>4958.33</v>
      </c>
      <c r="AR71" s="46">
        <f t="shared" si="47"/>
        <v>-4958.33</v>
      </c>
      <c r="AS71" s="47">
        <f t="shared" si="48"/>
        <v>0</v>
      </c>
      <c r="AT71" s="46">
        <f>(((((((AT63)+(AT64))+(AT65))+(AT66))+(AT67))+(AT68))+(AT69))+(AT70)</f>
        <v>0</v>
      </c>
      <c r="AU71" s="46">
        <f>(((((((AU63)+(AU64))+(AU65))+(AU66))+(AU67))+(AU68))+(AU69))+(AU70)</f>
        <v>4958.37</v>
      </c>
      <c r="AV71" s="46">
        <f t="shared" si="49"/>
        <v>-4958.37</v>
      </c>
      <c r="AW71" s="47">
        <f t="shared" si="50"/>
        <v>0</v>
      </c>
      <c r="AX71" s="46">
        <f t="shared" si="54"/>
        <v>117265.17</v>
      </c>
      <c r="AY71" s="46">
        <f t="shared" si="54"/>
        <v>59500.000000000015</v>
      </c>
      <c r="AZ71" s="46">
        <f t="shared" si="52"/>
        <v>57765.169999999984</v>
      </c>
      <c r="BA71" s="47">
        <f t="shared" si="53"/>
        <v>1.9708431932773105</v>
      </c>
    </row>
    <row r="72" spans="1:53" x14ac:dyDescent="0.3">
      <c r="A72" s="42" t="s">
        <v>181</v>
      </c>
      <c r="B72" s="44">
        <f>1190.21</f>
        <v>1190.21</v>
      </c>
      <c r="C72" s="44">
        <f>1250</f>
        <v>1250</v>
      </c>
      <c r="D72" s="44">
        <f t="shared" si="27"/>
        <v>-59.789999999999964</v>
      </c>
      <c r="E72" s="45">
        <f t="shared" si="28"/>
        <v>0.95216800000000001</v>
      </c>
      <c r="F72" s="44">
        <f>1229.88</f>
        <v>1229.8800000000001</v>
      </c>
      <c r="G72" s="44">
        <f>1250</f>
        <v>1250</v>
      </c>
      <c r="H72" s="44">
        <f t="shared" si="29"/>
        <v>-20.119999999999891</v>
      </c>
      <c r="I72" s="45">
        <f t="shared" si="30"/>
        <v>0.98390400000000011</v>
      </c>
      <c r="J72" s="44">
        <f>2459.76</f>
        <v>2459.7600000000002</v>
      </c>
      <c r="K72" s="44">
        <f>1250</f>
        <v>1250</v>
      </c>
      <c r="L72" s="44">
        <f t="shared" si="31"/>
        <v>1209.7600000000002</v>
      </c>
      <c r="M72" s="45">
        <f t="shared" si="32"/>
        <v>1.9678080000000002</v>
      </c>
      <c r="N72" s="43"/>
      <c r="O72" s="44">
        <f>1250</f>
        <v>1250</v>
      </c>
      <c r="P72" s="44">
        <f t="shared" si="33"/>
        <v>-1250</v>
      </c>
      <c r="Q72" s="45">
        <f t="shared" si="34"/>
        <v>0</v>
      </c>
      <c r="R72" s="44">
        <f>1229.88</f>
        <v>1229.8800000000001</v>
      </c>
      <c r="S72" s="44">
        <f>1250</f>
        <v>1250</v>
      </c>
      <c r="T72" s="44">
        <f t="shared" si="35"/>
        <v>-20.119999999999891</v>
      </c>
      <c r="U72" s="45">
        <f t="shared" si="36"/>
        <v>0.98390400000000011</v>
      </c>
      <c r="V72" s="44">
        <f>1229.88</f>
        <v>1229.8800000000001</v>
      </c>
      <c r="W72" s="44">
        <f>1250</f>
        <v>1250</v>
      </c>
      <c r="X72" s="44">
        <f t="shared" si="37"/>
        <v>-20.119999999999891</v>
      </c>
      <c r="Y72" s="45">
        <f t="shared" si="38"/>
        <v>0.98390400000000011</v>
      </c>
      <c r="Z72" s="44">
        <f>1229.88</f>
        <v>1229.8800000000001</v>
      </c>
      <c r="AA72" s="44">
        <f>1250</f>
        <v>1250</v>
      </c>
      <c r="AB72" s="44">
        <f t="shared" si="39"/>
        <v>-20.119999999999891</v>
      </c>
      <c r="AC72" s="45">
        <f t="shared" si="40"/>
        <v>0.98390400000000011</v>
      </c>
      <c r="AD72" s="44">
        <f>1229.88</f>
        <v>1229.8800000000001</v>
      </c>
      <c r="AE72" s="44">
        <f>1250</f>
        <v>1250</v>
      </c>
      <c r="AF72" s="44">
        <f t="shared" si="41"/>
        <v>-20.119999999999891</v>
      </c>
      <c r="AG72" s="45">
        <f t="shared" si="42"/>
        <v>0.98390400000000011</v>
      </c>
      <c r="AH72" s="43"/>
      <c r="AI72" s="44">
        <f>1250</f>
        <v>1250</v>
      </c>
      <c r="AJ72" s="44">
        <f t="shared" si="43"/>
        <v>-1250</v>
      </c>
      <c r="AK72" s="45">
        <f t="shared" si="44"/>
        <v>0</v>
      </c>
      <c r="AL72" s="43"/>
      <c r="AM72" s="44">
        <f>1250</f>
        <v>1250</v>
      </c>
      <c r="AN72" s="44">
        <f t="shared" si="45"/>
        <v>-1250</v>
      </c>
      <c r="AO72" s="45">
        <f t="shared" si="46"/>
        <v>0</v>
      </c>
      <c r="AP72" s="43"/>
      <c r="AQ72" s="44">
        <f>1250</f>
        <v>1250</v>
      </c>
      <c r="AR72" s="44">
        <f t="shared" si="47"/>
        <v>-1250</v>
      </c>
      <c r="AS72" s="45">
        <f t="shared" si="48"/>
        <v>0</v>
      </c>
      <c r="AT72" s="43"/>
      <c r="AU72" s="44">
        <f>1250</f>
        <v>1250</v>
      </c>
      <c r="AV72" s="44">
        <f t="shared" si="49"/>
        <v>-1250</v>
      </c>
      <c r="AW72" s="45">
        <f t="shared" si="50"/>
        <v>0</v>
      </c>
      <c r="AX72" s="44">
        <f t="shared" si="54"/>
        <v>9799.3700000000026</v>
      </c>
      <c r="AY72" s="44">
        <f t="shared" si="54"/>
        <v>15000</v>
      </c>
      <c r="AZ72" s="44">
        <f t="shared" si="52"/>
        <v>-5200.6299999999974</v>
      </c>
      <c r="BA72" s="45">
        <f t="shared" si="53"/>
        <v>0.65329133333333356</v>
      </c>
    </row>
    <row r="73" spans="1:53" x14ac:dyDescent="0.3">
      <c r="A73" s="42" t="s">
        <v>182</v>
      </c>
      <c r="B73" s="44">
        <f>1761.84</f>
        <v>1761.84</v>
      </c>
      <c r="C73" s="44">
        <f>1250</f>
        <v>1250</v>
      </c>
      <c r="D73" s="44">
        <f t="shared" si="27"/>
        <v>511.83999999999992</v>
      </c>
      <c r="E73" s="45">
        <f t="shared" si="28"/>
        <v>1.4094719999999998</v>
      </c>
      <c r="F73" s="44">
        <f>60</f>
        <v>60</v>
      </c>
      <c r="G73" s="44">
        <f>1250</f>
        <v>1250</v>
      </c>
      <c r="H73" s="44">
        <f t="shared" si="29"/>
        <v>-1190</v>
      </c>
      <c r="I73" s="45">
        <f t="shared" si="30"/>
        <v>4.8000000000000001E-2</v>
      </c>
      <c r="J73" s="44">
        <f>402</f>
        <v>402</v>
      </c>
      <c r="K73" s="44">
        <f>1250</f>
        <v>1250</v>
      </c>
      <c r="L73" s="44">
        <f t="shared" si="31"/>
        <v>-848</v>
      </c>
      <c r="M73" s="45">
        <f t="shared" si="32"/>
        <v>0.3216</v>
      </c>
      <c r="N73" s="44">
        <f>2078.72</f>
        <v>2078.7199999999998</v>
      </c>
      <c r="O73" s="44">
        <f>1250</f>
        <v>1250</v>
      </c>
      <c r="P73" s="44">
        <f t="shared" si="33"/>
        <v>828.7199999999998</v>
      </c>
      <c r="Q73" s="45">
        <f t="shared" si="34"/>
        <v>1.6629759999999998</v>
      </c>
      <c r="R73" s="44">
        <f>741.43</f>
        <v>741.43</v>
      </c>
      <c r="S73" s="44">
        <f>1250</f>
        <v>1250</v>
      </c>
      <c r="T73" s="44">
        <f t="shared" si="35"/>
        <v>-508.57000000000005</v>
      </c>
      <c r="U73" s="45">
        <f t="shared" si="36"/>
        <v>0.593144</v>
      </c>
      <c r="V73" s="44">
        <f>49.77</f>
        <v>49.77</v>
      </c>
      <c r="W73" s="44">
        <f>1250</f>
        <v>1250</v>
      </c>
      <c r="X73" s="44">
        <f t="shared" si="37"/>
        <v>-1200.23</v>
      </c>
      <c r="Y73" s="45">
        <f t="shared" si="38"/>
        <v>3.9816000000000004E-2</v>
      </c>
      <c r="Z73" s="44">
        <f>31.4</f>
        <v>31.4</v>
      </c>
      <c r="AA73" s="44">
        <f>1250</f>
        <v>1250</v>
      </c>
      <c r="AB73" s="44">
        <f t="shared" si="39"/>
        <v>-1218.5999999999999</v>
      </c>
      <c r="AC73" s="45">
        <f t="shared" si="40"/>
        <v>2.512E-2</v>
      </c>
      <c r="AD73" s="44">
        <f>148.23</f>
        <v>148.22999999999999</v>
      </c>
      <c r="AE73" s="44">
        <f>1250</f>
        <v>1250</v>
      </c>
      <c r="AF73" s="44">
        <f t="shared" si="41"/>
        <v>-1101.77</v>
      </c>
      <c r="AG73" s="45">
        <f t="shared" si="42"/>
        <v>0.11858399999999999</v>
      </c>
      <c r="AH73" s="43"/>
      <c r="AI73" s="44">
        <f>1250</f>
        <v>1250</v>
      </c>
      <c r="AJ73" s="44">
        <f t="shared" si="43"/>
        <v>-1250</v>
      </c>
      <c r="AK73" s="45">
        <f t="shared" si="44"/>
        <v>0</v>
      </c>
      <c r="AL73" s="43"/>
      <c r="AM73" s="44">
        <f>1250</f>
        <v>1250</v>
      </c>
      <c r="AN73" s="44">
        <f t="shared" si="45"/>
        <v>-1250</v>
      </c>
      <c r="AO73" s="45">
        <f t="shared" si="46"/>
        <v>0</v>
      </c>
      <c r="AP73" s="43"/>
      <c r="AQ73" s="44">
        <f>1250</f>
        <v>1250</v>
      </c>
      <c r="AR73" s="44">
        <f t="shared" si="47"/>
        <v>-1250</v>
      </c>
      <c r="AS73" s="45">
        <f t="shared" si="48"/>
        <v>0</v>
      </c>
      <c r="AT73" s="43"/>
      <c r="AU73" s="44">
        <f>1250</f>
        <v>1250</v>
      </c>
      <c r="AV73" s="44">
        <f t="shared" si="49"/>
        <v>-1250</v>
      </c>
      <c r="AW73" s="45">
        <f t="shared" si="50"/>
        <v>0</v>
      </c>
      <c r="AX73" s="44">
        <f t="shared" si="54"/>
        <v>5273.3899999999994</v>
      </c>
      <c r="AY73" s="44">
        <f t="shared" si="54"/>
        <v>15000</v>
      </c>
      <c r="AZ73" s="44">
        <f t="shared" si="52"/>
        <v>-9726.61</v>
      </c>
      <c r="BA73" s="45">
        <f t="shared" si="53"/>
        <v>0.35155933333333328</v>
      </c>
    </row>
    <row r="74" spans="1:53" x14ac:dyDescent="0.3">
      <c r="A74" s="42" t="s">
        <v>183</v>
      </c>
      <c r="B74" s="44">
        <f>472</f>
        <v>472</v>
      </c>
      <c r="C74" s="44">
        <f>833.33</f>
        <v>833.33</v>
      </c>
      <c r="D74" s="44">
        <f t="shared" si="27"/>
        <v>-361.33000000000004</v>
      </c>
      <c r="E74" s="45">
        <f t="shared" si="28"/>
        <v>0.56640226560906237</v>
      </c>
      <c r="F74" s="43"/>
      <c r="G74" s="44">
        <f>833.33</f>
        <v>833.33</v>
      </c>
      <c r="H74" s="44">
        <f t="shared" si="29"/>
        <v>-833.33</v>
      </c>
      <c r="I74" s="45">
        <f t="shared" si="30"/>
        <v>0</v>
      </c>
      <c r="J74" s="43"/>
      <c r="K74" s="44">
        <f>833.33</f>
        <v>833.33</v>
      </c>
      <c r="L74" s="44">
        <f t="shared" si="31"/>
        <v>-833.33</v>
      </c>
      <c r="M74" s="45">
        <f t="shared" si="32"/>
        <v>0</v>
      </c>
      <c r="N74" s="43"/>
      <c r="O74" s="44">
        <f>833.33</f>
        <v>833.33</v>
      </c>
      <c r="P74" s="44">
        <f t="shared" si="33"/>
        <v>-833.33</v>
      </c>
      <c r="Q74" s="45">
        <f t="shared" si="34"/>
        <v>0</v>
      </c>
      <c r="R74" s="43"/>
      <c r="S74" s="44">
        <f>833.33</f>
        <v>833.33</v>
      </c>
      <c r="T74" s="44">
        <f t="shared" si="35"/>
        <v>-833.33</v>
      </c>
      <c r="U74" s="45">
        <f t="shared" si="36"/>
        <v>0</v>
      </c>
      <c r="V74" s="43"/>
      <c r="W74" s="44">
        <f>833.33</f>
        <v>833.33</v>
      </c>
      <c r="X74" s="44">
        <f t="shared" si="37"/>
        <v>-833.33</v>
      </c>
      <c r="Y74" s="45">
        <f t="shared" si="38"/>
        <v>0</v>
      </c>
      <c r="Z74" s="43"/>
      <c r="AA74" s="44">
        <f>833.33</f>
        <v>833.33</v>
      </c>
      <c r="AB74" s="44">
        <f t="shared" si="39"/>
        <v>-833.33</v>
      </c>
      <c r="AC74" s="45">
        <f t="shared" si="40"/>
        <v>0</v>
      </c>
      <c r="AD74" s="43"/>
      <c r="AE74" s="44">
        <f>833.33</f>
        <v>833.33</v>
      </c>
      <c r="AF74" s="44">
        <f t="shared" si="41"/>
        <v>-833.33</v>
      </c>
      <c r="AG74" s="45">
        <f t="shared" si="42"/>
        <v>0</v>
      </c>
      <c r="AH74" s="43"/>
      <c r="AI74" s="44">
        <f>833.33</f>
        <v>833.33</v>
      </c>
      <c r="AJ74" s="44">
        <f t="shared" si="43"/>
        <v>-833.33</v>
      </c>
      <c r="AK74" s="45">
        <f t="shared" si="44"/>
        <v>0</v>
      </c>
      <c r="AL74" s="43"/>
      <c r="AM74" s="44">
        <f>833.33</f>
        <v>833.33</v>
      </c>
      <c r="AN74" s="44">
        <f t="shared" si="45"/>
        <v>-833.33</v>
      </c>
      <c r="AO74" s="45">
        <f t="shared" si="46"/>
        <v>0</v>
      </c>
      <c r="AP74" s="43"/>
      <c r="AQ74" s="44">
        <f>833.33</f>
        <v>833.33</v>
      </c>
      <c r="AR74" s="44">
        <f t="shared" si="47"/>
        <v>-833.33</v>
      </c>
      <c r="AS74" s="45">
        <f t="shared" si="48"/>
        <v>0</v>
      </c>
      <c r="AT74" s="43"/>
      <c r="AU74" s="44">
        <f>833.37</f>
        <v>833.37</v>
      </c>
      <c r="AV74" s="44">
        <f t="shared" si="49"/>
        <v>-833.37</v>
      </c>
      <c r="AW74" s="45">
        <f t="shared" si="50"/>
        <v>0</v>
      </c>
      <c r="AX74" s="44">
        <f t="shared" si="54"/>
        <v>472</v>
      </c>
      <c r="AY74" s="44">
        <f t="shared" si="54"/>
        <v>10000.000000000002</v>
      </c>
      <c r="AZ74" s="44">
        <f t="shared" si="52"/>
        <v>-9528.0000000000018</v>
      </c>
      <c r="BA74" s="45">
        <f t="shared" si="53"/>
        <v>4.7199999999999992E-2</v>
      </c>
    </row>
    <row r="75" spans="1:53" x14ac:dyDescent="0.3">
      <c r="A75" s="42" t="s">
        <v>184</v>
      </c>
      <c r="B75" s="43"/>
      <c r="C75" s="43"/>
      <c r="D75" s="44">
        <f t="shared" si="27"/>
        <v>0</v>
      </c>
      <c r="E75" s="45" t="str">
        <f t="shared" si="28"/>
        <v/>
      </c>
      <c r="F75" s="43"/>
      <c r="G75" s="43"/>
      <c r="H75" s="44">
        <f t="shared" si="29"/>
        <v>0</v>
      </c>
      <c r="I75" s="45" t="str">
        <f t="shared" si="30"/>
        <v/>
      </c>
      <c r="J75" s="43"/>
      <c r="K75" s="43"/>
      <c r="L75" s="44">
        <f t="shared" si="31"/>
        <v>0</v>
      </c>
      <c r="M75" s="45" t="str">
        <f t="shared" si="32"/>
        <v/>
      </c>
      <c r="N75" s="43"/>
      <c r="O75" s="43"/>
      <c r="P75" s="44">
        <f t="shared" si="33"/>
        <v>0</v>
      </c>
      <c r="Q75" s="45" t="str">
        <f t="shared" si="34"/>
        <v/>
      </c>
      <c r="R75" s="43"/>
      <c r="S75" s="43"/>
      <c r="T75" s="44">
        <f t="shared" si="35"/>
        <v>0</v>
      </c>
      <c r="U75" s="45" t="str">
        <f t="shared" si="36"/>
        <v/>
      </c>
      <c r="V75" s="43"/>
      <c r="W75" s="43"/>
      <c r="X75" s="44">
        <f t="shared" si="37"/>
        <v>0</v>
      </c>
      <c r="Y75" s="45" t="str">
        <f t="shared" si="38"/>
        <v/>
      </c>
      <c r="Z75" s="43"/>
      <c r="AA75" s="43"/>
      <c r="AB75" s="44">
        <f t="shared" si="39"/>
        <v>0</v>
      </c>
      <c r="AC75" s="45" t="str">
        <f t="shared" si="40"/>
        <v/>
      </c>
      <c r="AD75" s="43"/>
      <c r="AE75" s="43"/>
      <c r="AF75" s="44">
        <f t="shared" si="41"/>
        <v>0</v>
      </c>
      <c r="AG75" s="45" t="str">
        <f t="shared" si="42"/>
        <v/>
      </c>
      <c r="AH75" s="43"/>
      <c r="AI75" s="43"/>
      <c r="AJ75" s="44">
        <f t="shared" si="43"/>
        <v>0</v>
      </c>
      <c r="AK75" s="45" t="str">
        <f t="shared" si="44"/>
        <v/>
      </c>
      <c r="AL75" s="43"/>
      <c r="AM75" s="43"/>
      <c r="AN75" s="44">
        <f t="shared" si="45"/>
        <v>0</v>
      </c>
      <c r="AO75" s="45" t="str">
        <f t="shared" si="46"/>
        <v/>
      </c>
      <c r="AP75" s="43"/>
      <c r="AQ75" s="43"/>
      <c r="AR75" s="44">
        <f t="shared" si="47"/>
        <v>0</v>
      </c>
      <c r="AS75" s="45" t="str">
        <f t="shared" si="48"/>
        <v/>
      </c>
      <c r="AT75" s="43"/>
      <c r="AU75" s="43"/>
      <c r="AV75" s="44">
        <f t="shared" si="49"/>
        <v>0</v>
      </c>
      <c r="AW75" s="45" t="str">
        <f t="shared" si="50"/>
        <v/>
      </c>
      <c r="AX75" s="44">
        <f t="shared" si="54"/>
        <v>0</v>
      </c>
      <c r="AY75" s="44">
        <f t="shared" si="54"/>
        <v>0</v>
      </c>
      <c r="AZ75" s="44">
        <f t="shared" si="52"/>
        <v>0</v>
      </c>
      <c r="BA75" s="45" t="str">
        <f t="shared" si="53"/>
        <v/>
      </c>
    </row>
    <row r="76" spans="1:53" x14ac:dyDescent="0.3">
      <c r="A76" s="42" t="s">
        <v>185</v>
      </c>
      <c r="B76" s="44">
        <f>1020.58</f>
        <v>1020.58</v>
      </c>
      <c r="C76" s="44">
        <f>2500</f>
        <v>2500</v>
      </c>
      <c r="D76" s="44">
        <f t="shared" si="27"/>
        <v>-1479.42</v>
      </c>
      <c r="E76" s="45">
        <f t="shared" si="28"/>
        <v>0.40823200000000004</v>
      </c>
      <c r="F76" s="43"/>
      <c r="G76" s="44">
        <f>2500</f>
        <v>2500</v>
      </c>
      <c r="H76" s="44">
        <f t="shared" si="29"/>
        <v>-2500</v>
      </c>
      <c r="I76" s="45">
        <f t="shared" si="30"/>
        <v>0</v>
      </c>
      <c r="J76" s="44">
        <f>80.9</f>
        <v>80.900000000000006</v>
      </c>
      <c r="K76" s="44">
        <f>2500</f>
        <v>2500</v>
      </c>
      <c r="L76" s="44">
        <f t="shared" si="31"/>
        <v>-2419.1</v>
      </c>
      <c r="M76" s="45">
        <f t="shared" si="32"/>
        <v>3.236E-2</v>
      </c>
      <c r="N76" s="44">
        <f>486.61</f>
        <v>486.61</v>
      </c>
      <c r="O76" s="44">
        <f>2500</f>
        <v>2500</v>
      </c>
      <c r="P76" s="44">
        <f t="shared" si="33"/>
        <v>-2013.3899999999999</v>
      </c>
      <c r="Q76" s="45">
        <f t="shared" si="34"/>
        <v>0.19464400000000001</v>
      </c>
      <c r="R76" s="44">
        <f>1995</f>
        <v>1995</v>
      </c>
      <c r="S76" s="44">
        <f>2500</f>
        <v>2500</v>
      </c>
      <c r="T76" s="44">
        <f t="shared" si="35"/>
        <v>-505</v>
      </c>
      <c r="U76" s="45">
        <f t="shared" si="36"/>
        <v>0.79800000000000004</v>
      </c>
      <c r="V76" s="44">
        <f>750</f>
        <v>750</v>
      </c>
      <c r="W76" s="44">
        <f>2500</f>
        <v>2500</v>
      </c>
      <c r="X76" s="44">
        <f t="shared" si="37"/>
        <v>-1750</v>
      </c>
      <c r="Y76" s="45">
        <f t="shared" si="38"/>
        <v>0.3</v>
      </c>
      <c r="Z76" s="43"/>
      <c r="AA76" s="44">
        <f>2500</f>
        <v>2500</v>
      </c>
      <c r="AB76" s="44">
        <f t="shared" si="39"/>
        <v>-2500</v>
      </c>
      <c r="AC76" s="45">
        <f t="shared" si="40"/>
        <v>0</v>
      </c>
      <c r="AD76" s="43"/>
      <c r="AE76" s="44">
        <f>2500</f>
        <v>2500</v>
      </c>
      <c r="AF76" s="44">
        <f t="shared" si="41"/>
        <v>-2500</v>
      </c>
      <c r="AG76" s="45">
        <f t="shared" si="42"/>
        <v>0</v>
      </c>
      <c r="AH76" s="43"/>
      <c r="AI76" s="44">
        <f>2500</f>
        <v>2500</v>
      </c>
      <c r="AJ76" s="44">
        <f t="shared" si="43"/>
        <v>-2500</v>
      </c>
      <c r="AK76" s="45">
        <f t="shared" si="44"/>
        <v>0</v>
      </c>
      <c r="AL76" s="43"/>
      <c r="AM76" s="44">
        <f>2500</f>
        <v>2500</v>
      </c>
      <c r="AN76" s="44">
        <f t="shared" si="45"/>
        <v>-2500</v>
      </c>
      <c r="AO76" s="45">
        <f t="shared" si="46"/>
        <v>0</v>
      </c>
      <c r="AP76" s="43"/>
      <c r="AQ76" s="44">
        <f>2500</f>
        <v>2500</v>
      </c>
      <c r="AR76" s="44">
        <f t="shared" si="47"/>
        <v>-2500</v>
      </c>
      <c r="AS76" s="45">
        <f t="shared" si="48"/>
        <v>0</v>
      </c>
      <c r="AT76" s="43"/>
      <c r="AU76" s="44">
        <f>2500</f>
        <v>2500</v>
      </c>
      <c r="AV76" s="44">
        <f t="shared" si="49"/>
        <v>-2500</v>
      </c>
      <c r="AW76" s="45">
        <f t="shared" si="50"/>
        <v>0</v>
      </c>
      <c r="AX76" s="44">
        <f t="shared" si="54"/>
        <v>4333.09</v>
      </c>
      <c r="AY76" s="44">
        <f t="shared" si="54"/>
        <v>30000</v>
      </c>
      <c r="AZ76" s="44">
        <f t="shared" si="52"/>
        <v>-25666.91</v>
      </c>
      <c r="BA76" s="45">
        <f t="shared" si="53"/>
        <v>0.14443633333333333</v>
      </c>
    </row>
    <row r="77" spans="1:53" x14ac:dyDescent="0.3">
      <c r="A77" s="42" t="s">
        <v>186</v>
      </c>
      <c r="B77" s="44">
        <f>34.47</f>
        <v>34.47</v>
      </c>
      <c r="C77" s="44">
        <f>2500</f>
        <v>2500</v>
      </c>
      <c r="D77" s="44">
        <f t="shared" si="27"/>
        <v>-2465.5300000000002</v>
      </c>
      <c r="E77" s="45">
        <f t="shared" si="28"/>
        <v>1.3788E-2</v>
      </c>
      <c r="F77" s="44">
        <f>254.76</f>
        <v>254.76</v>
      </c>
      <c r="G77" s="44">
        <f>2500</f>
        <v>2500</v>
      </c>
      <c r="H77" s="44">
        <f t="shared" si="29"/>
        <v>-2245.2399999999998</v>
      </c>
      <c r="I77" s="45">
        <f t="shared" si="30"/>
        <v>0.10190399999999999</v>
      </c>
      <c r="J77" s="44">
        <f>3202.2</f>
        <v>3202.2</v>
      </c>
      <c r="K77" s="44">
        <f>2500</f>
        <v>2500</v>
      </c>
      <c r="L77" s="44">
        <f t="shared" si="31"/>
        <v>702.19999999999982</v>
      </c>
      <c r="M77" s="45">
        <f t="shared" si="32"/>
        <v>1.28088</v>
      </c>
      <c r="N77" s="44">
        <f>1726.78</f>
        <v>1726.78</v>
      </c>
      <c r="O77" s="44">
        <f>2500</f>
        <v>2500</v>
      </c>
      <c r="P77" s="44">
        <f t="shared" si="33"/>
        <v>-773.22</v>
      </c>
      <c r="Q77" s="45">
        <f t="shared" si="34"/>
        <v>0.69071199999999999</v>
      </c>
      <c r="R77" s="44">
        <f>685.44</f>
        <v>685.44</v>
      </c>
      <c r="S77" s="44">
        <f>2500</f>
        <v>2500</v>
      </c>
      <c r="T77" s="44">
        <f t="shared" si="35"/>
        <v>-1814.56</v>
      </c>
      <c r="U77" s="45">
        <f t="shared" si="36"/>
        <v>0.27417600000000003</v>
      </c>
      <c r="V77" s="44">
        <f>400.42</f>
        <v>400.42</v>
      </c>
      <c r="W77" s="44">
        <f>2500</f>
        <v>2500</v>
      </c>
      <c r="X77" s="44">
        <f t="shared" si="37"/>
        <v>-2099.58</v>
      </c>
      <c r="Y77" s="45">
        <f t="shared" si="38"/>
        <v>0.160168</v>
      </c>
      <c r="Z77" s="44">
        <f>166.8</f>
        <v>166.8</v>
      </c>
      <c r="AA77" s="44">
        <f>2500</f>
        <v>2500</v>
      </c>
      <c r="AB77" s="44">
        <f t="shared" si="39"/>
        <v>-2333.1999999999998</v>
      </c>
      <c r="AC77" s="45">
        <f t="shared" si="40"/>
        <v>6.6720000000000002E-2</v>
      </c>
      <c r="AD77" s="44">
        <f>1117.9</f>
        <v>1117.9000000000001</v>
      </c>
      <c r="AE77" s="44">
        <f>2500</f>
        <v>2500</v>
      </c>
      <c r="AF77" s="44">
        <f t="shared" si="41"/>
        <v>-1382.1</v>
      </c>
      <c r="AG77" s="45">
        <f t="shared" si="42"/>
        <v>0.44716000000000006</v>
      </c>
      <c r="AH77" s="43"/>
      <c r="AI77" s="44">
        <f>2500</f>
        <v>2500</v>
      </c>
      <c r="AJ77" s="44">
        <f t="shared" si="43"/>
        <v>-2500</v>
      </c>
      <c r="AK77" s="45">
        <f t="shared" si="44"/>
        <v>0</v>
      </c>
      <c r="AL77" s="43"/>
      <c r="AM77" s="44">
        <f>2500</f>
        <v>2500</v>
      </c>
      <c r="AN77" s="44">
        <f t="shared" si="45"/>
        <v>-2500</v>
      </c>
      <c r="AO77" s="45">
        <f t="shared" si="46"/>
        <v>0</v>
      </c>
      <c r="AP77" s="43"/>
      <c r="AQ77" s="44">
        <f>2500</f>
        <v>2500</v>
      </c>
      <c r="AR77" s="44">
        <f t="shared" si="47"/>
        <v>-2500</v>
      </c>
      <c r="AS77" s="45">
        <f t="shared" si="48"/>
        <v>0</v>
      </c>
      <c r="AT77" s="43"/>
      <c r="AU77" s="44">
        <f>2500</f>
        <v>2500</v>
      </c>
      <c r="AV77" s="44">
        <f t="shared" si="49"/>
        <v>-2500</v>
      </c>
      <c r="AW77" s="45">
        <f t="shared" si="50"/>
        <v>0</v>
      </c>
      <c r="AX77" s="44">
        <f t="shared" si="54"/>
        <v>7588.77</v>
      </c>
      <c r="AY77" s="44">
        <f t="shared" si="54"/>
        <v>30000</v>
      </c>
      <c r="AZ77" s="44">
        <f t="shared" si="52"/>
        <v>-22411.23</v>
      </c>
      <c r="BA77" s="45">
        <f t="shared" si="53"/>
        <v>0.25295899999999999</v>
      </c>
    </row>
    <row r="78" spans="1:53" x14ac:dyDescent="0.3">
      <c r="A78" s="42" t="s">
        <v>187</v>
      </c>
      <c r="B78" s="46">
        <f>((B75)+(B76))+(B77)</f>
        <v>1055.05</v>
      </c>
      <c r="C78" s="46">
        <f>((C75)+(C76))+(C77)</f>
        <v>5000</v>
      </c>
      <c r="D78" s="46">
        <f t="shared" si="27"/>
        <v>-3944.95</v>
      </c>
      <c r="E78" s="47">
        <f t="shared" si="28"/>
        <v>0.21101</v>
      </c>
      <c r="F78" s="46">
        <f>((F75)+(F76))+(F77)</f>
        <v>254.76</v>
      </c>
      <c r="G78" s="46">
        <f>((G75)+(G76))+(G77)</f>
        <v>5000</v>
      </c>
      <c r="H78" s="46">
        <f t="shared" si="29"/>
        <v>-4745.24</v>
      </c>
      <c r="I78" s="47">
        <f t="shared" si="30"/>
        <v>5.0951999999999997E-2</v>
      </c>
      <c r="J78" s="46">
        <f>((J75)+(J76))+(J77)</f>
        <v>3283.1</v>
      </c>
      <c r="K78" s="46">
        <f>((K75)+(K76))+(K77)</f>
        <v>5000</v>
      </c>
      <c r="L78" s="46">
        <f t="shared" si="31"/>
        <v>-1716.9</v>
      </c>
      <c r="M78" s="47">
        <f t="shared" si="32"/>
        <v>0.65661999999999998</v>
      </c>
      <c r="N78" s="46">
        <f>((N75)+(N76))+(N77)</f>
        <v>2213.39</v>
      </c>
      <c r="O78" s="46">
        <f>((O75)+(O76))+(O77)</f>
        <v>5000</v>
      </c>
      <c r="P78" s="46">
        <f t="shared" si="33"/>
        <v>-2786.61</v>
      </c>
      <c r="Q78" s="47">
        <f t="shared" si="34"/>
        <v>0.44267799999999996</v>
      </c>
      <c r="R78" s="46">
        <f>((R75)+(R76))+(R77)</f>
        <v>2680.44</v>
      </c>
      <c r="S78" s="46">
        <f>((S75)+(S76))+(S77)</f>
        <v>5000</v>
      </c>
      <c r="T78" s="46">
        <f t="shared" si="35"/>
        <v>-2319.56</v>
      </c>
      <c r="U78" s="47">
        <f t="shared" si="36"/>
        <v>0.53608800000000001</v>
      </c>
      <c r="V78" s="46">
        <f>((V75)+(V76))+(V77)</f>
        <v>1150.42</v>
      </c>
      <c r="W78" s="46">
        <f>((W75)+(W76))+(W77)</f>
        <v>5000</v>
      </c>
      <c r="X78" s="46">
        <f t="shared" si="37"/>
        <v>-3849.58</v>
      </c>
      <c r="Y78" s="47">
        <f t="shared" si="38"/>
        <v>0.23008400000000001</v>
      </c>
      <c r="Z78" s="46">
        <f>((Z75)+(Z76))+(Z77)</f>
        <v>166.8</v>
      </c>
      <c r="AA78" s="46">
        <f>((AA75)+(AA76))+(AA77)</f>
        <v>5000</v>
      </c>
      <c r="AB78" s="46">
        <f t="shared" si="39"/>
        <v>-4833.2</v>
      </c>
      <c r="AC78" s="47">
        <f t="shared" si="40"/>
        <v>3.3360000000000001E-2</v>
      </c>
      <c r="AD78" s="46">
        <f>((AD75)+(AD76))+(AD77)</f>
        <v>1117.9000000000001</v>
      </c>
      <c r="AE78" s="46">
        <f>((AE75)+(AE76))+(AE77)</f>
        <v>5000</v>
      </c>
      <c r="AF78" s="46">
        <f t="shared" si="41"/>
        <v>-3882.1</v>
      </c>
      <c r="AG78" s="47">
        <f t="shared" si="42"/>
        <v>0.22358000000000003</v>
      </c>
      <c r="AH78" s="46">
        <f>((AH75)+(AH76))+(AH77)</f>
        <v>0</v>
      </c>
      <c r="AI78" s="46">
        <f>((AI75)+(AI76))+(AI77)</f>
        <v>5000</v>
      </c>
      <c r="AJ78" s="46">
        <f t="shared" si="43"/>
        <v>-5000</v>
      </c>
      <c r="AK78" s="47">
        <f t="shared" si="44"/>
        <v>0</v>
      </c>
      <c r="AL78" s="46">
        <f>((AL75)+(AL76))+(AL77)</f>
        <v>0</v>
      </c>
      <c r="AM78" s="46">
        <f>((AM75)+(AM76))+(AM77)</f>
        <v>5000</v>
      </c>
      <c r="AN78" s="46">
        <f t="shared" si="45"/>
        <v>-5000</v>
      </c>
      <c r="AO78" s="47">
        <f t="shared" si="46"/>
        <v>0</v>
      </c>
      <c r="AP78" s="46">
        <f>((AP75)+(AP76))+(AP77)</f>
        <v>0</v>
      </c>
      <c r="AQ78" s="46">
        <f>((AQ75)+(AQ76))+(AQ77)</f>
        <v>5000</v>
      </c>
      <c r="AR78" s="46">
        <f t="shared" si="47"/>
        <v>-5000</v>
      </c>
      <c r="AS78" s="47">
        <f t="shared" si="48"/>
        <v>0</v>
      </c>
      <c r="AT78" s="46">
        <f>((AT75)+(AT76))+(AT77)</f>
        <v>0</v>
      </c>
      <c r="AU78" s="46">
        <f>((AU75)+(AU76))+(AU77)</f>
        <v>5000</v>
      </c>
      <c r="AV78" s="46">
        <f t="shared" si="49"/>
        <v>-5000</v>
      </c>
      <c r="AW78" s="47">
        <f t="shared" si="50"/>
        <v>0</v>
      </c>
      <c r="AX78" s="46">
        <f t="shared" si="54"/>
        <v>11921.859999999999</v>
      </c>
      <c r="AY78" s="46">
        <f t="shared" si="54"/>
        <v>60000</v>
      </c>
      <c r="AZ78" s="46">
        <f t="shared" si="52"/>
        <v>-48078.14</v>
      </c>
      <c r="BA78" s="47">
        <f t="shared" si="53"/>
        <v>0.19869766666666663</v>
      </c>
    </row>
    <row r="79" spans="1:53" x14ac:dyDescent="0.3">
      <c r="A79" s="42" t="s">
        <v>188</v>
      </c>
      <c r="B79" s="44">
        <f>25.73</f>
        <v>25.73</v>
      </c>
      <c r="C79" s="43"/>
      <c r="D79" s="44">
        <f t="shared" si="27"/>
        <v>25.73</v>
      </c>
      <c r="E79" s="45" t="str">
        <f t="shared" si="28"/>
        <v/>
      </c>
      <c r="F79" s="43"/>
      <c r="G79" s="43"/>
      <c r="H79" s="44">
        <f t="shared" si="29"/>
        <v>0</v>
      </c>
      <c r="I79" s="45" t="str">
        <f t="shared" si="30"/>
        <v/>
      </c>
      <c r="J79" s="43"/>
      <c r="K79" s="43"/>
      <c r="L79" s="44">
        <f t="shared" si="31"/>
        <v>0</v>
      </c>
      <c r="M79" s="45" t="str">
        <f t="shared" si="32"/>
        <v/>
      </c>
      <c r="N79" s="44">
        <f>5.33</f>
        <v>5.33</v>
      </c>
      <c r="O79" s="43"/>
      <c r="P79" s="44">
        <f t="shared" si="33"/>
        <v>5.33</v>
      </c>
      <c r="Q79" s="45" t="str">
        <f t="shared" si="34"/>
        <v/>
      </c>
      <c r="R79" s="44">
        <f>394.04</f>
        <v>394.04</v>
      </c>
      <c r="S79" s="43"/>
      <c r="T79" s="44">
        <f t="shared" si="35"/>
        <v>394.04</v>
      </c>
      <c r="U79" s="45" t="str">
        <f t="shared" si="36"/>
        <v/>
      </c>
      <c r="V79" s="44">
        <f>659.55</f>
        <v>659.55</v>
      </c>
      <c r="W79" s="43"/>
      <c r="X79" s="44">
        <f t="shared" si="37"/>
        <v>659.55</v>
      </c>
      <c r="Y79" s="45" t="str">
        <f t="shared" si="38"/>
        <v/>
      </c>
      <c r="Z79" s="44">
        <f>407.01</f>
        <v>407.01</v>
      </c>
      <c r="AA79" s="43"/>
      <c r="AB79" s="44">
        <f t="shared" si="39"/>
        <v>407.01</v>
      </c>
      <c r="AC79" s="45" t="str">
        <f t="shared" si="40"/>
        <v/>
      </c>
      <c r="AD79" s="44">
        <f>643.54</f>
        <v>643.54</v>
      </c>
      <c r="AE79" s="43"/>
      <c r="AF79" s="44">
        <f t="shared" si="41"/>
        <v>643.54</v>
      </c>
      <c r="AG79" s="45" t="str">
        <f t="shared" si="42"/>
        <v/>
      </c>
      <c r="AH79" s="43"/>
      <c r="AI79" s="43"/>
      <c r="AJ79" s="44">
        <f t="shared" si="43"/>
        <v>0</v>
      </c>
      <c r="AK79" s="45" t="str">
        <f t="shared" si="44"/>
        <v/>
      </c>
      <c r="AL79" s="43"/>
      <c r="AM79" s="43"/>
      <c r="AN79" s="44">
        <f t="shared" si="45"/>
        <v>0</v>
      </c>
      <c r="AO79" s="45" t="str">
        <f t="shared" si="46"/>
        <v/>
      </c>
      <c r="AP79" s="43"/>
      <c r="AQ79" s="43"/>
      <c r="AR79" s="44">
        <f t="shared" si="47"/>
        <v>0</v>
      </c>
      <c r="AS79" s="45" t="str">
        <f t="shared" si="48"/>
        <v/>
      </c>
      <c r="AT79" s="43"/>
      <c r="AU79" s="43"/>
      <c r="AV79" s="44">
        <f t="shared" si="49"/>
        <v>0</v>
      </c>
      <c r="AW79" s="45" t="str">
        <f t="shared" si="50"/>
        <v/>
      </c>
      <c r="AX79" s="44">
        <f t="shared" si="54"/>
        <v>2135.1999999999998</v>
      </c>
      <c r="AY79" s="44">
        <f t="shared" si="54"/>
        <v>0</v>
      </c>
      <c r="AZ79" s="44">
        <f t="shared" si="52"/>
        <v>2135.1999999999998</v>
      </c>
      <c r="BA79" s="45" t="str">
        <f t="shared" si="53"/>
        <v/>
      </c>
    </row>
    <row r="80" spans="1:53" x14ac:dyDescent="0.3">
      <c r="A80" s="42" t="s">
        <v>189</v>
      </c>
      <c r="B80" s="43"/>
      <c r="C80" s="43"/>
      <c r="D80" s="44">
        <f t="shared" si="27"/>
        <v>0</v>
      </c>
      <c r="E80" s="45" t="str">
        <f t="shared" si="28"/>
        <v/>
      </c>
      <c r="F80" s="43"/>
      <c r="G80" s="43"/>
      <c r="H80" s="44">
        <f t="shared" si="29"/>
        <v>0</v>
      </c>
      <c r="I80" s="45" t="str">
        <f t="shared" si="30"/>
        <v/>
      </c>
      <c r="J80" s="43"/>
      <c r="K80" s="43"/>
      <c r="L80" s="44">
        <f t="shared" si="31"/>
        <v>0</v>
      </c>
      <c r="M80" s="45" t="str">
        <f t="shared" si="32"/>
        <v/>
      </c>
      <c r="N80" s="43"/>
      <c r="O80" s="43"/>
      <c r="P80" s="44">
        <f t="shared" si="33"/>
        <v>0</v>
      </c>
      <c r="Q80" s="45" t="str">
        <f t="shared" si="34"/>
        <v/>
      </c>
      <c r="R80" s="43"/>
      <c r="S80" s="43"/>
      <c r="T80" s="44">
        <f t="shared" si="35"/>
        <v>0</v>
      </c>
      <c r="U80" s="45" t="str">
        <f t="shared" si="36"/>
        <v/>
      </c>
      <c r="V80" s="43"/>
      <c r="W80" s="43"/>
      <c r="X80" s="44">
        <f t="shared" si="37"/>
        <v>0</v>
      </c>
      <c r="Y80" s="45" t="str">
        <f t="shared" si="38"/>
        <v/>
      </c>
      <c r="Z80" s="43"/>
      <c r="AA80" s="43"/>
      <c r="AB80" s="44">
        <f t="shared" si="39"/>
        <v>0</v>
      </c>
      <c r="AC80" s="45" t="str">
        <f t="shared" si="40"/>
        <v/>
      </c>
      <c r="AD80" s="43"/>
      <c r="AE80" s="43"/>
      <c r="AF80" s="44">
        <f t="shared" si="41"/>
        <v>0</v>
      </c>
      <c r="AG80" s="45" t="str">
        <f t="shared" si="42"/>
        <v/>
      </c>
      <c r="AH80" s="43"/>
      <c r="AI80" s="43"/>
      <c r="AJ80" s="44">
        <f t="shared" si="43"/>
        <v>0</v>
      </c>
      <c r="AK80" s="45" t="str">
        <f t="shared" si="44"/>
        <v/>
      </c>
      <c r="AL80" s="43"/>
      <c r="AM80" s="43"/>
      <c r="AN80" s="44">
        <f t="shared" si="45"/>
        <v>0</v>
      </c>
      <c r="AO80" s="45" t="str">
        <f t="shared" si="46"/>
        <v/>
      </c>
      <c r="AP80" s="43"/>
      <c r="AQ80" s="43"/>
      <c r="AR80" s="44">
        <f t="shared" si="47"/>
        <v>0</v>
      </c>
      <c r="AS80" s="45" t="str">
        <f t="shared" si="48"/>
        <v/>
      </c>
      <c r="AT80" s="43"/>
      <c r="AU80" s="43"/>
      <c r="AV80" s="44">
        <f t="shared" si="49"/>
        <v>0</v>
      </c>
      <c r="AW80" s="45" t="str">
        <f t="shared" si="50"/>
        <v/>
      </c>
      <c r="AX80" s="44">
        <f t="shared" si="54"/>
        <v>0</v>
      </c>
      <c r="AY80" s="44">
        <f t="shared" si="54"/>
        <v>0</v>
      </c>
      <c r="AZ80" s="44">
        <f t="shared" si="52"/>
        <v>0</v>
      </c>
      <c r="BA80" s="45" t="str">
        <f t="shared" si="53"/>
        <v/>
      </c>
    </row>
    <row r="81" spans="1:53" x14ac:dyDescent="0.3">
      <c r="A81" s="42" t="s">
        <v>190</v>
      </c>
      <c r="B81" s="44">
        <f>272.52</f>
        <v>272.52</v>
      </c>
      <c r="C81" s="44">
        <f>625</f>
        <v>625</v>
      </c>
      <c r="D81" s="44">
        <f t="shared" si="27"/>
        <v>-352.48</v>
      </c>
      <c r="E81" s="45">
        <f t="shared" si="28"/>
        <v>0.43603199999999998</v>
      </c>
      <c r="F81" s="44">
        <f>90.8</f>
        <v>90.8</v>
      </c>
      <c r="G81" s="44">
        <f>625</f>
        <v>625</v>
      </c>
      <c r="H81" s="44">
        <f t="shared" si="29"/>
        <v>-534.20000000000005</v>
      </c>
      <c r="I81" s="45">
        <f t="shared" si="30"/>
        <v>0.14527999999999999</v>
      </c>
      <c r="J81" s="44">
        <f>816.19</f>
        <v>816.19</v>
      </c>
      <c r="K81" s="44">
        <f>625</f>
        <v>625</v>
      </c>
      <c r="L81" s="44">
        <f t="shared" si="31"/>
        <v>191.19000000000005</v>
      </c>
      <c r="M81" s="45">
        <f t="shared" si="32"/>
        <v>1.3059040000000002</v>
      </c>
      <c r="N81" s="44">
        <f>75.1</f>
        <v>75.099999999999994</v>
      </c>
      <c r="O81" s="44">
        <f>625</f>
        <v>625</v>
      </c>
      <c r="P81" s="44">
        <f t="shared" si="33"/>
        <v>-549.9</v>
      </c>
      <c r="Q81" s="45">
        <f t="shared" si="34"/>
        <v>0.12015999999999999</v>
      </c>
      <c r="R81" s="44">
        <f>992.18</f>
        <v>992.18</v>
      </c>
      <c r="S81" s="44">
        <f>625</f>
        <v>625</v>
      </c>
      <c r="T81" s="44">
        <f t="shared" si="35"/>
        <v>367.17999999999995</v>
      </c>
      <c r="U81" s="45">
        <f t="shared" si="36"/>
        <v>1.587488</v>
      </c>
      <c r="V81" s="44">
        <f>164.79</f>
        <v>164.79</v>
      </c>
      <c r="W81" s="44">
        <f>625</f>
        <v>625</v>
      </c>
      <c r="X81" s="44">
        <f t="shared" si="37"/>
        <v>-460.21000000000004</v>
      </c>
      <c r="Y81" s="45">
        <f t="shared" si="38"/>
        <v>0.26366400000000001</v>
      </c>
      <c r="Z81" s="44">
        <f>653.19</f>
        <v>653.19000000000005</v>
      </c>
      <c r="AA81" s="44">
        <f>625</f>
        <v>625</v>
      </c>
      <c r="AB81" s="44">
        <f t="shared" si="39"/>
        <v>28.190000000000055</v>
      </c>
      <c r="AC81" s="45">
        <f t="shared" si="40"/>
        <v>1.045104</v>
      </c>
      <c r="AD81" s="44">
        <f>456.34</f>
        <v>456.34</v>
      </c>
      <c r="AE81" s="44">
        <f>625</f>
        <v>625</v>
      </c>
      <c r="AF81" s="44">
        <f t="shared" si="41"/>
        <v>-168.66000000000003</v>
      </c>
      <c r="AG81" s="45">
        <f t="shared" si="42"/>
        <v>0.73014400000000002</v>
      </c>
      <c r="AH81" s="43"/>
      <c r="AI81" s="44">
        <f>625</f>
        <v>625</v>
      </c>
      <c r="AJ81" s="44">
        <f t="shared" si="43"/>
        <v>-625</v>
      </c>
      <c r="AK81" s="45">
        <f t="shared" si="44"/>
        <v>0</v>
      </c>
      <c r="AL81" s="43"/>
      <c r="AM81" s="44">
        <f>625</f>
        <v>625</v>
      </c>
      <c r="AN81" s="44">
        <f t="shared" si="45"/>
        <v>-625</v>
      </c>
      <c r="AO81" s="45">
        <f t="shared" si="46"/>
        <v>0</v>
      </c>
      <c r="AP81" s="43"/>
      <c r="AQ81" s="44">
        <f>625</f>
        <v>625</v>
      </c>
      <c r="AR81" s="44">
        <f t="shared" si="47"/>
        <v>-625</v>
      </c>
      <c r="AS81" s="45">
        <f t="shared" si="48"/>
        <v>0</v>
      </c>
      <c r="AT81" s="43"/>
      <c r="AU81" s="44">
        <f>625</f>
        <v>625</v>
      </c>
      <c r="AV81" s="44">
        <f t="shared" si="49"/>
        <v>-625</v>
      </c>
      <c r="AW81" s="45">
        <f t="shared" si="50"/>
        <v>0</v>
      </c>
      <c r="AX81" s="44">
        <f t="shared" si="54"/>
        <v>3521.11</v>
      </c>
      <c r="AY81" s="44">
        <f t="shared" si="54"/>
        <v>7500</v>
      </c>
      <c r="AZ81" s="44">
        <f t="shared" si="52"/>
        <v>-3978.89</v>
      </c>
      <c r="BA81" s="45">
        <f t="shared" si="53"/>
        <v>0.46948133333333336</v>
      </c>
    </row>
    <row r="82" spans="1:53" x14ac:dyDescent="0.3">
      <c r="A82" s="42" t="s">
        <v>191</v>
      </c>
      <c r="B82" s="44">
        <f>26.58</f>
        <v>26.58</v>
      </c>
      <c r="C82" s="44">
        <f>416.67</f>
        <v>416.67</v>
      </c>
      <c r="D82" s="44">
        <f t="shared" si="27"/>
        <v>-390.09000000000003</v>
      </c>
      <c r="E82" s="45">
        <f t="shared" si="28"/>
        <v>6.3791489668082652E-2</v>
      </c>
      <c r="F82" s="44">
        <f>84.23</f>
        <v>84.23</v>
      </c>
      <c r="G82" s="44">
        <f>416.67</f>
        <v>416.67</v>
      </c>
      <c r="H82" s="44">
        <f t="shared" si="29"/>
        <v>-332.44</v>
      </c>
      <c r="I82" s="45">
        <f t="shared" si="30"/>
        <v>0.20215038279693762</v>
      </c>
      <c r="J82" s="44">
        <f>71.1</f>
        <v>71.099999999999994</v>
      </c>
      <c r="K82" s="44">
        <f>416.67</f>
        <v>416.67</v>
      </c>
      <c r="L82" s="44">
        <f t="shared" si="31"/>
        <v>-345.57000000000005</v>
      </c>
      <c r="M82" s="45">
        <f t="shared" si="32"/>
        <v>0.17063863489092085</v>
      </c>
      <c r="N82" s="44">
        <f>87.92</f>
        <v>87.92</v>
      </c>
      <c r="O82" s="44">
        <f>416.67</f>
        <v>416.67</v>
      </c>
      <c r="P82" s="44">
        <f t="shared" si="33"/>
        <v>-328.75</v>
      </c>
      <c r="Q82" s="45">
        <f t="shared" si="34"/>
        <v>0.21100631194950439</v>
      </c>
      <c r="R82" s="44">
        <f>397.71</f>
        <v>397.71</v>
      </c>
      <c r="S82" s="44">
        <f>416.67</f>
        <v>416.67</v>
      </c>
      <c r="T82" s="44">
        <f t="shared" si="35"/>
        <v>-18.960000000000036</v>
      </c>
      <c r="U82" s="45">
        <f t="shared" si="36"/>
        <v>0.95449636402908766</v>
      </c>
      <c r="V82" s="44">
        <f>31.2</f>
        <v>31.2</v>
      </c>
      <c r="W82" s="44">
        <f>416.67</f>
        <v>416.67</v>
      </c>
      <c r="X82" s="44">
        <f t="shared" si="37"/>
        <v>-385.47</v>
      </c>
      <c r="Y82" s="45">
        <f t="shared" si="38"/>
        <v>7.4879400964792273E-2</v>
      </c>
      <c r="Z82" s="44">
        <f>162.25</f>
        <v>162.25</v>
      </c>
      <c r="AA82" s="44">
        <f>416.67</f>
        <v>416.67</v>
      </c>
      <c r="AB82" s="44">
        <f t="shared" si="39"/>
        <v>-254.42000000000002</v>
      </c>
      <c r="AC82" s="45">
        <f t="shared" si="40"/>
        <v>0.38939688482492141</v>
      </c>
      <c r="AD82" s="44">
        <f>91</f>
        <v>91</v>
      </c>
      <c r="AE82" s="44">
        <f>416.67</f>
        <v>416.67</v>
      </c>
      <c r="AF82" s="44">
        <f t="shared" si="41"/>
        <v>-325.67</v>
      </c>
      <c r="AG82" s="45">
        <f t="shared" si="42"/>
        <v>0.21839825281397748</v>
      </c>
      <c r="AH82" s="43"/>
      <c r="AI82" s="44">
        <f>416.67</f>
        <v>416.67</v>
      </c>
      <c r="AJ82" s="44">
        <f t="shared" si="43"/>
        <v>-416.67</v>
      </c>
      <c r="AK82" s="45">
        <f t="shared" si="44"/>
        <v>0</v>
      </c>
      <c r="AL82" s="43"/>
      <c r="AM82" s="44">
        <f>416.67</f>
        <v>416.67</v>
      </c>
      <c r="AN82" s="44">
        <f t="shared" si="45"/>
        <v>-416.67</v>
      </c>
      <c r="AO82" s="45">
        <f t="shared" si="46"/>
        <v>0</v>
      </c>
      <c r="AP82" s="43"/>
      <c r="AQ82" s="44">
        <f>416.67</f>
        <v>416.67</v>
      </c>
      <c r="AR82" s="44">
        <f t="shared" si="47"/>
        <v>-416.67</v>
      </c>
      <c r="AS82" s="45">
        <f t="shared" si="48"/>
        <v>0</v>
      </c>
      <c r="AT82" s="43"/>
      <c r="AU82" s="44">
        <f>416.63</f>
        <v>416.63</v>
      </c>
      <c r="AV82" s="44">
        <f t="shared" si="49"/>
        <v>-416.63</v>
      </c>
      <c r="AW82" s="45">
        <f t="shared" si="50"/>
        <v>0</v>
      </c>
      <c r="AX82" s="44">
        <f t="shared" si="54"/>
        <v>951.99</v>
      </c>
      <c r="AY82" s="44">
        <f t="shared" si="54"/>
        <v>5000</v>
      </c>
      <c r="AZ82" s="44">
        <f t="shared" si="52"/>
        <v>-4048.01</v>
      </c>
      <c r="BA82" s="45">
        <f t="shared" si="53"/>
        <v>0.19039800000000001</v>
      </c>
    </row>
    <row r="83" spans="1:53" x14ac:dyDescent="0.3">
      <c r="A83" s="42" t="s">
        <v>192</v>
      </c>
      <c r="B83" s="44">
        <f>582.5</f>
        <v>582.5</v>
      </c>
      <c r="C83" s="44">
        <f>833.33</f>
        <v>833.33</v>
      </c>
      <c r="D83" s="44">
        <f t="shared" si="27"/>
        <v>-250.83000000000004</v>
      </c>
      <c r="E83" s="45">
        <f t="shared" si="28"/>
        <v>0.69900279601118398</v>
      </c>
      <c r="F83" s="44">
        <f>302.35</f>
        <v>302.35000000000002</v>
      </c>
      <c r="G83" s="44">
        <f>833.33</f>
        <v>833.33</v>
      </c>
      <c r="H83" s="44">
        <f t="shared" si="29"/>
        <v>-530.98</v>
      </c>
      <c r="I83" s="45">
        <f t="shared" si="30"/>
        <v>0.36282145128580517</v>
      </c>
      <c r="J83" s="44">
        <f>764.85</f>
        <v>764.85</v>
      </c>
      <c r="K83" s="44">
        <f>833.33</f>
        <v>833.33</v>
      </c>
      <c r="L83" s="44">
        <f t="shared" si="31"/>
        <v>-68.480000000000018</v>
      </c>
      <c r="M83" s="45">
        <f t="shared" si="32"/>
        <v>0.91782367129468512</v>
      </c>
      <c r="N83" s="43"/>
      <c r="O83" s="44">
        <f>833.33</f>
        <v>833.33</v>
      </c>
      <c r="P83" s="44">
        <f t="shared" si="33"/>
        <v>-833.33</v>
      </c>
      <c r="Q83" s="45">
        <f t="shared" si="34"/>
        <v>0</v>
      </c>
      <c r="R83" s="44">
        <f>35.74</f>
        <v>35.74</v>
      </c>
      <c r="S83" s="44">
        <f>833.33</f>
        <v>833.33</v>
      </c>
      <c r="T83" s="44">
        <f t="shared" si="35"/>
        <v>-797.59</v>
      </c>
      <c r="U83" s="45">
        <f t="shared" si="36"/>
        <v>4.2888171552686212E-2</v>
      </c>
      <c r="V83" s="44">
        <f>107.95</f>
        <v>107.95</v>
      </c>
      <c r="W83" s="44">
        <f>833.33</f>
        <v>833.33</v>
      </c>
      <c r="X83" s="44">
        <f t="shared" si="37"/>
        <v>-725.38</v>
      </c>
      <c r="Y83" s="45">
        <f t="shared" si="38"/>
        <v>0.12954051816207265</v>
      </c>
      <c r="Z83" s="43"/>
      <c r="AA83" s="44">
        <f>833.33</f>
        <v>833.33</v>
      </c>
      <c r="AB83" s="44">
        <f t="shared" si="39"/>
        <v>-833.33</v>
      </c>
      <c r="AC83" s="45">
        <f t="shared" si="40"/>
        <v>0</v>
      </c>
      <c r="AD83" s="43"/>
      <c r="AE83" s="44">
        <f>833.33</f>
        <v>833.33</v>
      </c>
      <c r="AF83" s="44">
        <f t="shared" si="41"/>
        <v>-833.33</v>
      </c>
      <c r="AG83" s="45">
        <f t="shared" si="42"/>
        <v>0</v>
      </c>
      <c r="AH83" s="43"/>
      <c r="AI83" s="44">
        <f>833.33</f>
        <v>833.33</v>
      </c>
      <c r="AJ83" s="44">
        <f t="shared" si="43"/>
        <v>-833.33</v>
      </c>
      <c r="AK83" s="45">
        <f t="shared" si="44"/>
        <v>0</v>
      </c>
      <c r="AL83" s="43"/>
      <c r="AM83" s="44">
        <f>833.33</f>
        <v>833.33</v>
      </c>
      <c r="AN83" s="44">
        <f t="shared" si="45"/>
        <v>-833.33</v>
      </c>
      <c r="AO83" s="45">
        <f t="shared" si="46"/>
        <v>0</v>
      </c>
      <c r="AP83" s="43"/>
      <c r="AQ83" s="44">
        <f>833.33</f>
        <v>833.33</v>
      </c>
      <c r="AR83" s="44">
        <f t="shared" si="47"/>
        <v>-833.33</v>
      </c>
      <c r="AS83" s="45">
        <f t="shared" si="48"/>
        <v>0</v>
      </c>
      <c r="AT83" s="43"/>
      <c r="AU83" s="44">
        <f>833.37</f>
        <v>833.37</v>
      </c>
      <c r="AV83" s="44">
        <f t="shared" si="49"/>
        <v>-833.37</v>
      </c>
      <c r="AW83" s="45">
        <f t="shared" si="50"/>
        <v>0</v>
      </c>
      <c r="AX83" s="44">
        <f t="shared" si="54"/>
        <v>1793.39</v>
      </c>
      <c r="AY83" s="44">
        <f t="shared" si="54"/>
        <v>10000.000000000002</v>
      </c>
      <c r="AZ83" s="44">
        <f t="shared" si="52"/>
        <v>-8206.6100000000024</v>
      </c>
      <c r="BA83" s="45">
        <f t="shared" si="53"/>
        <v>0.17933899999999997</v>
      </c>
    </row>
    <row r="84" spans="1:53" x14ac:dyDescent="0.3">
      <c r="A84" s="42" t="s">
        <v>193</v>
      </c>
      <c r="B84" s="43"/>
      <c r="C84" s="44">
        <f>250</f>
        <v>250</v>
      </c>
      <c r="D84" s="44">
        <f t="shared" ref="D84:D102" si="55">(B84)-(C84)</f>
        <v>-250</v>
      </c>
      <c r="E84" s="45">
        <f t="shared" ref="E84:E102" si="56">IF(C84=0,"",(B84)/(C84))</f>
        <v>0</v>
      </c>
      <c r="F84" s="43"/>
      <c r="G84" s="44">
        <f>250</f>
        <v>250</v>
      </c>
      <c r="H84" s="44">
        <f t="shared" ref="H84:H102" si="57">(F84)-(G84)</f>
        <v>-250</v>
      </c>
      <c r="I84" s="45">
        <f t="shared" ref="I84:I102" si="58">IF(G84=0,"",(F84)/(G84))</f>
        <v>0</v>
      </c>
      <c r="J84" s="43"/>
      <c r="K84" s="44">
        <f>250</f>
        <v>250</v>
      </c>
      <c r="L84" s="44">
        <f t="shared" ref="L84:L102" si="59">(J84)-(K84)</f>
        <v>-250</v>
      </c>
      <c r="M84" s="45">
        <f t="shared" ref="M84:M102" si="60">IF(K84=0,"",(J84)/(K84))</f>
        <v>0</v>
      </c>
      <c r="N84" s="43"/>
      <c r="O84" s="44">
        <f>250</f>
        <v>250</v>
      </c>
      <c r="P84" s="44">
        <f t="shared" ref="P84:P102" si="61">(N84)-(O84)</f>
        <v>-250</v>
      </c>
      <c r="Q84" s="45">
        <f t="shared" ref="Q84:Q102" si="62">IF(O84=0,"",(N84)/(O84))</f>
        <v>0</v>
      </c>
      <c r="R84" s="43"/>
      <c r="S84" s="44">
        <f>250</f>
        <v>250</v>
      </c>
      <c r="T84" s="44">
        <f t="shared" ref="T84:T102" si="63">(R84)-(S84)</f>
        <v>-250</v>
      </c>
      <c r="U84" s="45">
        <f t="shared" ref="U84:U102" si="64">IF(S84=0,"",(R84)/(S84))</f>
        <v>0</v>
      </c>
      <c r="V84" s="43"/>
      <c r="W84" s="44">
        <f>250</f>
        <v>250</v>
      </c>
      <c r="X84" s="44">
        <f t="shared" ref="X84:X102" si="65">(V84)-(W84)</f>
        <v>-250</v>
      </c>
      <c r="Y84" s="45">
        <f t="shared" ref="Y84:Y102" si="66">IF(W84=0,"",(V84)/(W84))</f>
        <v>0</v>
      </c>
      <c r="Z84" s="43"/>
      <c r="AA84" s="44">
        <f>250</f>
        <v>250</v>
      </c>
      <c r="AB84" s="44">
        <f t="shared" ref="AB84:AB102" si="67">(Z84)-(AA84)</f>
        <v>-250</v>
      </c>
      <c r="AC84" s="45">
        <f t="shared" ref="AC84:AC102" si="68">IF(AA84=0,"",(Z84)/(AA84))</f>
        <v>0</v>
      </c>
      <c r="AD84" s="43"/>
      <c r="AE84" s="44">
        <f>250</f>
        <v>250</v>
      </c>
      <c r="AF84" s="44">
        <f t="shared" ref="AF84:AF102" si="69">(AD84)-(AE84)</f>
        <v>-250</v>
      </c>
      <c r="AG84" s="45">
        <f t="shared" ref="AG84:AG102" si="70">IF(AE84=0,"",(AD84)/(AE84))</f>
        <v>0</v>
      </c>
      <c r="AH84" s="43"/>
      <c r="AI84" s="44">
        <f>250</f>
        <v>250</v>
      </c>
      <c r="AJ84" s="44">
        <f t="shared" ref="AJ84:AJ102" si="71">(AH84)-(AI84)</f>
        <v>-250</v>
      </c>
      <c r="AK84" s="45">
        <f t="shared" ref="AK84:AK102" si="72">IF(AI84=0,"",(AH84)/(AI84))</f>
        <v>0</v>
      </c>
      <c r="AL84" s="43"/>
      <c r="AM84" s="44">
        <f>250</f>
        <v>250</v>
      </c>
      <c r="AN84" s="44">
        <f t="shared" ref="AN84:AN102" si="73">(AL84)-(AM84)</f>
        <v>-250</v>
      </c>
      <c r="AO84" s="45">
        <f t="shared" ref="AO84:AO102" si="74">IF(AM84=0,"",(AL84)/(AM84))</f>
        <v>0</v>
      </c>
      <c r="AP84" s="43"/>
      <c r="AQ84" s="44">
        <f>250</f>
        <v>250</v>
      </c>
      <c r="AR84" s="44">
        <f t="shared" ref="AR84:AR102" si="75">(AP84)-(AQ84)</f>
        <v>-250</v>
      </c>
      <c r="AS84" s="45">
        <f t="shared" ref="AS84:AS102" si="76">IF(AQ84=0,"",(AP84)/(AQ84))</f>
        <v>0</v>
      </c>
      <c r="AT84" s="43"/>
      <c r="AU84" s="44">
        <f>250</f>
        <v>250</v>
      </c>
      <c r="AV84" s="44">
        <f t="shared" ref="AV84:AV102" si="77">(AT84)-(AU84)</f>
        <v>-250</v>
      </c>
      <c r="AW84" s="45">
        <f t="shared" ref="AW84:AW102" si="78">IF(AU84=0,"",(AT84)/(AU84))</f>
        <v>0</v>
      </c>
      <c r="AX84" s="44">
        <f t="shared" ref="AX84:AY102" si="79">(((((((((((B84)+(F84))+(J84))+(N84))+(R84))+(V84))+(Z84))+(AD84))+(AH84))+(AL84))+(AP84))+(AT84)</f>
        <v>0</v>
      </c>
      <c r="AY84" s="44">
        <f t="shared" si="79"/>
        <v>3000</v>
      </c>
      <c r="AZ84" s="44">
        <f t="shared" ref="AZ84:AZ102" si="80">(AX84)-(AY84)</f>
        <v>-3000</v>
      </c>
      <c r="BA84" s="45">
        <f t="shared" ref="BA84:BA102" si="81">IF(AY84=0,"",(AX84)/(AY84))</f>
        <v>0</v>
      </c>
    </row>
    <row r="85" spans="1:53" x14ac:dyDescent="0.3">
      <c r="A85" s="42" t="s">
        <v>194</v>
      </c>
      <c r="B85" s="46">
        <f>((((B80)+(B81))+(B82))+(B83))+(B84)</f>
        <v>881.59999999999991</v>
      </c>
      <c r="C85" s="46">
        <f>((((C80)+(C81))+(C82))+(C83))+(C84)</f>
        <v>2125</v>
      </c>
      <c r="D85" s="46">
        <f t="shared" si="55"/>
        <v>-1243.4000000000001</v>
      </c>
      <c r="E85" s="47">
        <f t="shared" si="56"/>
        <v>0.4148705882352941</v>
      </c>
      <c r="F85" s="46">
        <f>((((F80)+(F81))+(F82))+(F83))+(F84)</f>
        <v>477.38</v>
      </c>
      <c r="G85" s="46">
        <f>((((G80)+(G81))+(G82))+(G83))+(G84)</f>
        <v>2125</v>
      </c>
      <c r="H85" s="46">
        <f t="shared" si="57"/>
        <v>-1647.62</v>
      </c>
      <c r="I85" s="47">
        <f t="shared" si="58"/>
        <v>0.22464941176470588</v>
      </c>
      <c r="J85" s="46">
        <f>((((J80)+(J81))+(J82))+(J83))+(J84)</f>
        <v>1652.14</v>
      </c>
      <c r="K85" s="46">
        <f>((((K80)+(K81))+(K82))+(K83))+(K84)</f>
        <v>2125</v>
      </c>
      <c r="L85" s="46">
        <f t="shared" si="59"/>
        <v>-472.8599999999999</v>
      </c>
      <c r="M85" s="47">
        <f t="shared" si="60"/>
        <v>0.77747764705882361</v>
      </c>
      <c r="N85" s="46">
        <f>((((N80)+(N81))+(N82))+(N83))+(N84)</f>
        <v>163.01999999999998</v>
      </c>
      <c r="O85" s="46">
        <f>((((O80)+(O81))+(O82))+(O83))+(O84)</f>
        <v>2125</v>
      </c>
      <c r="P85" s="46">
        <f t="shared" si="61"/>
        <v>-1961.98</v>
      </c>
      <c r="Q85" s="47">
        <f t="shared" si="62"/>
        <v>7.6715294117647048E-2</v>
      </c>
      <c r="R85" s="46">
        <f>((((R80)+(R81))+(R82))+(R83))+(R84)</f>
        <v>1425.6299999999999</v>
      </c>
      <c r="S85" s="46">
        <f>((((S80)+(S81))+(S82))+(S83))+(S84)</f>
        <v>2125</v>
      </c>
      <c r="T85" s="46">
        <f t="shared" si="63"/>
        <v>-699.37000000000012</v>
      </c>
      <c r="U85" s="47">
        <f t="shared" si="64"/>
        <v>0.67088470588235294</v>
      </c>
      <c r="V85" s="46">
        <f>((((V80)+(V81))+(V82))+(V83))+(V84)</f>
        <v>303.94</v>
      </c>
      <c r="W85" s="46">
        <f>((((W80)+(W81))+(W82))+(W83))+(W84)</f>
        <v>2125</v>
      </c>
      <c r="X85" s="46">
        <f t="shared" si="65"/>
        <v>-1821.06</v>
      </c>
      <c r="Y85" s="47">
        <f t="shared" si="66"/>
        <v>0.1430305882352941</v>
      </c>
      <c r="Z85" s="46">
        <f>((((Z80)+(Z81))+(Z82))+(Z83))+(Z84)</f>
        <v>815.44</v>
      </c>
      <c r="AA85" s="46">
        <f>((((AA80)+(AA81))+(AA82))+(AA83))+(AA84)</f>
        <v>2125</v>
      </c>
      <c r="AB85" s="46">
        <f t="shared" si="67"/>
        <v>-1309.56</v>
      </c>
      <c r="AC85" s="47">
        <f t="shared" si="68"/>
        <v>0.38373647058823535</v>
      </c>
      <c r="AD85" s="46">
        <f>((((AD80)+(AD81))+(AD82))+(AD83))+(AD84)</f>
        <v>547.33999999999992</v>
      </c>
      <c r="AE85" s="46">
        <f>((((AE80)+(AE81))+(AE82))+(AE83))+(AE84)</f>
        <v>2125</v>
      </c>
      <c r="AF85" s="46">
        <f t="shared" si="69"/>
        <v>-1577.66</v>
      </c>
      <c r="AG85" s="47">
        <f t="shared" si="70"/>
        <v>0.25757176470588233</v>
      </c>
      <c r="AH85" s="46">
        <f>((((AH80)+(AH81))+(AH82))+(AH83))+(AH84)</f>
        <v>0</v>
      </c>
      <c r="AI85" s="46">
        <f>((((AI80)+(AI81))+(AI82))+(AI83))+(AI84)</f>
        <v>2125</v>
      </c>
      <c r="AJ85" s="46">
        <f t="shared" si="71"/>
        <v>-2125</v>
      </c>
      <c r="AK85" s="47">
        <f t="shared" si="72"/>
        <v>0</v>
      </c>
      <c r="AL85" s="46">
        <f>((((AL80)+(AL81))+(AL82))+(AL83))+(AL84)</f>
        <v>0</v>
      </c>
      <c r="AM85" s="46">
        <f>((((AM80)+(AM81))+(AM82))+(AM83))+(AM84)</f>
        <v>2125</v>
      </c>
      <c r="AN85" s="46">
        <f t="shared" si="73"/>
        <v>-2125</v>
      </c>
      <c r="AO85" s="47">
        <f t="shared" si="74"/>
        <v>0</v>
      </c>
      <c r="AP85" s="46">
        <f>((((AP80)+(AP81))+(AP82))+(AP83))+(AP84)</f>
        <v>0</v>
      </c>
      <c r="AQ85" s="46">
        <f>((((AQ80)+(AQ81))+(AQ82))+(AQ83))+(AQ84)</f>
        <v>2125</v>
      </c>
      <c r="AR85" s="46">
        <f t="shared" si="75"/>
        <v>-2125</v>
      </c>
      <c r="AS85" s="47">
        <f t="shared" si="76"/>
        <v>0</v>
      </c>
      <c r="AT85" s="46">
        <f>((((AT80)+(AT81))+(AT82))+(AT83))+(AT84)</f>
        <v>0</v>
      </c>
      <c r="AU85" s="46">
        <f>((((AU80)+(AU81))+(AU82))+(AU83))+(AU84)</f>
        <v>2125</v>
      </c>
      <c r="AV85" s="46">
        <f t="shared" si="77"/>
        <v>-2125</v>
      </c>
      <c r="AW85" s="47">
        <f t="shared" si="78"/>
        <v>0</v>
      </c>
      <c r="AX85" s="46">
        <f t="shared" si="79"/>
        <v>6266.49</v>
      </c>
      <c r="AY85" s="46">
        <f t="shared" si="79"/>
        <v>25500</v>
      </c>
      <c r="AZ85" s="46">
        <f t="shared" si="80"/>
        <v>-19233.510000000002</v>
      </c>
      <c r="BA85" s="47">
        <f t="shared" si="81"/>
        <v>0.24574470588235292</v>
      </c>
    </row>
    <row r="86" spans="1:53" x14ac:dyDescent="0.3">
      <c r="A86" s="42" t="s">
        <v>195</v>
      </c>
      <c r="B86" s="44">
        <f>112.59</f>
        <v>112.59</v>
      </c>
      <c r="C86" s="44">
        <f>1916.67</f>
        <v>1916.67</v>
      </c>
      <c r="D86" s="44">
        <f t="shared" si="55"/>
        <v>-1804.0800000000002</v>
      </c>
      <c r="E86" s="45">
        <f t="shared" si="56"/>
        <v>5.8742506534771241E-2</v>
      </c>
      <c r="F86" s="44">
        <f>7092.76</f>
        <v>7092.76</v>
      </c>
      <c r="G86" s="44">
        <f>1916.67</f>
        <v>1916.67</v>
      </c>
      <c r="H86" s="44">
        <f t="shared" si="57"/>
        <v>5176.09</v>
      </c>
      <c r="I86" s="45">
        <f t="shared" si="58"/>
        <v>3.7005639990191321</v>
      </c>
      <c r="J86" s="44">
        <f>1385.6</f>
        <v>1385.6</v>
      </c>
      <c r="K86" s="44">
        <f>1916.67</f>
        <v>1916.67</v>
      </c>
      <c r="L86" s="44">
        <f t="shared" si="59"/>
        <v>-531.07000000000016</v>
      </c>
      <c r="M86" s="45">
        <f t="shared" si="60"/>
        <v>0.72292048187742275</v>
      </c>
      <c r="N86" s="43"/>
      <c r="O86" s="44">
        <f>1916.67</f>
        <v>1916.67</v>
      </c>
      <c r="P86" s="44">
        <f t="shared" si="61"/>
        <v>-1916.67</v>
      </c>
      <c r="Q86" s="45">
        <f t="shared" si="62"/>
        <v>0</v>
      </c>
      <c r="R86" s="43"/>
      <c r="S86" s="44">
        <f>1916.67</f>
        <v>1916.67</v>
      </c>
      <c r="T86" s="44">
        <f t="shared" si="63"/>
        <v>-1916.67</v>
      </c>
      <c r="U86" s="45">
        <f t="shared" si="64"/>
        <v>0</v>
      </c>
      <c r="V86" s="43"/>
      <c r="W86" s="44">
        <f>1916.67</f>
        <v>1916.67</v>
      </c>
      <c r="X86" s="44">
        <f t="shared" si="65"/>
        <v>-1916.67</v>
      </c>
      <c r="Y86" s="45">
        <f t="shared" si="66"/>
        <v>0</v>
      </c>
      <c r="Z86" s="43"/>
      <c r="AA86" s="44">
        <f>1916.67</f>
        <v>1916.67</v>
      </c>
      <c r="AB86" s="44">
        <f t="shared" si="67"/>
        <v>-1916.67</v>
      </c>
      <c r="AC86" s="45">
        <f t="shared" si="68"/>
        <v>0</v>
      </c>
      <c r="AD86" s="43"/>
      <c r="AE86" s="44">
        <f>1916.67</f>
        <v>1916.67</v>
      </c>
      <c r="AF86" s="44">
        <f t="shared" si="69"/>
        <v>-1916.67</v>
      </c>
      <c r="AG86" s="45">
        <f t="shared" si="70"/>
        <v>0</v>
      </c>
      <c r="AH86" s="43"/>
      <c r="AI86" s="44">
        <f>1916.67</f>
        <v>1916.67</v>
      </c>
      <c r="AJ86" s="44">
        <f t="shared" si="71"/>
        <v>-1916.67</v>
      </c>
      <c r="AK86" s="45">
        <f t="shared" si="72"/>
        <v>0</v>
      </c>
      <c r="AL86" s="43"/>
      <c r="AM86" s="44">
        <f>1916.67</f>
        <v>1916.67</v>
      </c>
      <c r="AN86" s="44">
        <f t="shared" si="73"/>
        <v>-1916.67</v>
      </c>
      <c r="AO86" s="45">
        <f t="shared" si="74"/>
        <v>0</v>
      </c>
      <c r="AP86" s="43"/>
      <c r="AQ86" s="44">
        <f>1916.67</f>
        <v>1916.67</v>
      </c>
      <c r="AR86" s="44">
        <f t="shared" si="75"/>
        <v>-1916.67</v>
      </c>
      <c r="AS86" s="45">
        <f t="shared" si="76"/>
        <v>0</v>
      </c>
      <c r="AT86" s="43"/>
      <c r="AU86" s="44">
        <f>1916.63</f>
        <v>1916.63</v>
      </c>
      <c r="AV86" s="44">
        <f t="shared" si="77"/>
        <v>-1916.63</v>
      </c>
      <c r="AW86" s="45">
        <f t="shared" si="78"/>
        <v>0</v>
      </c>
      <c r="AX86" s="44">
        <f t="shared" si="79"/>
        <v>8590.9500000000007</v>
      </c>
      <c r="AY86" s="44">
        <f t="shared" si="79"/>
        <v>22999.999999999996</v>
      </c>
      <c r="AZ86" s="44">
        <f t="shared" si="80"/>
        <v>-14409.049999999996</v>
      </c>
      <c r="BA86" s="45">
        <f t="shared" si="81"/>
        <v>0.37351956521739138</v>
      </c>
    </row>
    <row r="87" spans="1:53" x14ac:dyDescent="0.3">
      <c r="A87" s="42" t="s">
        <v>196</v>
      </c>
      <c r="B87" s="43"/>
      <c r="C87" s="43"/>
      <c r="D87" s="44">
        <f t="shared" si="55"/>
        <v>0</v>
      </c>
      <c r="E87" s="45" t="str">
        <f t="shared" si="56"/>
        <v/>
      </c>
      <c r="F87" s="43"/>
      <c r="G87" s="43"/>
      <c r="H87" s="44">
        <f t="shared" si="57"/>
        <v>0</v>
      </c>
      <c r="I87" s="45" t="str">
        <f t="shared" si="58"/>
        <v/>
      </c>
      <c r="J87" s="43"/>
      <c r="K87" s="43"/>
      <c r="L87" s="44">
        <f t="shared" si="59"/>
        <v>0</v>
      </c>
      <c r="M87" s="45" t="str">
        <f t="shared" si="60"/>
        <v/>
      </c>
      <c r="N87" s="43"/>
      <c r="O87" s="43"/>
      <c r="P87" s="44">
        <f t="shared" si="61"/>
        <v>0</v>
      </c>
      <c r="Q87" s="45" t="str">
        <f t="shared" si="62"/>
        <v/>
      </c>
      <c r="R87" s="43"/>
      <c r="S87" s="43"/>
      <c r="T87" s="44">
        <f t="shared" si="63"/>
        <v>0</v>
      </c>
      <c r="U87" s="45" t="str">
        <f t="shared" si="64"/>
        <v/>
      </c>
      <c r="V87" s="43"/>
      <c r="W87" s="43"/>
      <c r="X87" s="44">
        <f t="shared" si="65"/>
        <v>0</v>
      </c>
      <c r="Y87" s="45" t="str">
        <f t="shared" si="66"/>
        <v/>
      </c>
      <c r="Z87" s="43"/>
      <c r="AA87" s="43"/>
      <c r="AB87" s="44">
        <f t="shared" si="67"/>
        <v>0</v>
      </c>
      <c r="AC87" s="45" t="str">
        <f t="shared" si="68"/>
        <v/>
      </c>
      <c r="AD87" s="43"/>
      <c r="AE87" s="43"/>
      <c r="AF87" s="44">
        <f t="shared" si="69"/>
        <v>0</v>
      </c>
      <c r="AG87" s="45" t="str">
        <f t="shared" si="70"/>
        <v/>
      </c>
      <c r="AH87" s="43"/>
      <c r="AI87" s="43"/>
      <c r="AJ87" s="44">
        <f t="shared" si="71"/>
        <v>0</v>
      </c>
      <c r="AK87" s="45" t="str">
        <f t="shared" si="72"/>
        <v/>
      </c>
      <c r="AL87" s="43"/>
      <c r="AM87" s="43"/>
      <c r="AN87" s="44">
        <f t="shared" si="73"/>
        <v>0</v>
      </c>
      <c r="AO87" s="45" t="str">
        <f t="shared" si="74"/>
        <v/>
      </c>
      <c r="AP87" s="43"/>
      <c r="AQ87" s="43"/>
      <c r="AR87" s="44">
        <f t="shared" si="75"/>
        <v>0</v>
      </c>
      <c r="AS87" s="45" t="str">
        <f t="shared" si="76"/>
        <v/>
      </c>
      <c r="AT87" s="43"/>
      <c r="AU87" s="43"/>
      <c r="AV87" s="44">
        <f t="shared" si="77"/>
        <v>0</v>
      </c>
      <c r="AW87" s="45" t="str">
        <f t="shared" si="78"/>
        <v/>
      </c>
      <c r="AX87" s="44">
        <f t="shared" si="79"/>
        <v>0</v>
      </c>
      <c r="AY87" s="44">
        <f t="shared" si="79"/>
        <v>0</v>
      </c>
      <c r="AZ87" s="44">
        <f t="shared" si="80"/>
        <v>0</v>
      </c>
      <c r="BA87" s="45" t="str">
        <f t="shared" si="81"/>
        <v/>
      </c>
    </row>
    <row r="88" spans="1:53" x14ac:dyDescent="0.3">
      <c r="A88" s="42" t="s">
        <v>197</v>
      </c>
      <c r="B88" s="43"/>
      <c r="C88" s="44">
        <f>2750</f>
        <v>2750</v>
      </c>
      <c r="D88" s="44">
        <f t="shared" si="55"/>
        <v>-2750</v>
      </c>
      <c r="E88" s="45">
        <f t="shared" si="56"/>
        <v>0</v>
      </c>
      <c r="F88" s="44">
        <f>5190</f>
        <v>5190</v>
      </c>
      <c r="G88" s="44">
        <f>2750</f>
        <v>2750</v>
      </c>
      <c r="H88" s="44">
        <f t="shared" si="57"/>
        <v>2440</v>
      </c>
      <c r="I88" s="45">
        <f t="shared" si="58"/>
        <v>1.8872727272727272</v>
      </c>
      <c r="J88" s="44">
        <f>2595</f>
        <v>2595</v>
      </c>
      <c r="K88" s="44">
        <f>2750</f>
        <v>2750</v>
      </c>
      <c r="L88" s="44">
        <f t="shared" si="59"/>
        <v>-155</v>
      </c>
      <c r="M88" s="45">
        <f t="shared" si="60"/>
        <v>0.94363636363636361</v>
      </c>
      <c r="N88" s="44">
        <f>4710</f>
        <v>4710</v>
      </c>
      <c r="O88" s="44">
        <f>2750</f>
        <v>2750</v>
      </c>
      <c r="P88" s="44">
        <f t="shared" si="61"/>
        <v>1960</v>
      </c>
      <c r="Q88" s="45">
        <f t="shared" si="62"/>
        <v>1.7127272727272727</v>
      </c>
      <c r="R88" s="44">
        <f>2595</f>
        <v>2595</v>
      </c>
      <c r="S88" s="44">
        <f>2750</f>
        <v>2750</v>
      </c>
      <c r="T88" s="44">
        <f t="shared" si="63"/>
        <v>-155</v>
      </c>
      <c r="U88" s="45">
        <f t="shared" si="64"/>
        <v>0.94363636363636361</v>
      </c>
      <c r="V88" s="44">
        <f>2595</f>
        <v>2595</v>
      </c>
      <c r="W88" s="44">
        <f>2750</f>
        <v>2750</v>
      </c>
      <c r="X88" s="44">
        <f t="shared" si="65"/>
        <v>-155</v>
      </c>
      <c r="Y88" s="45">
        <f t="shared" si="66"/>
        <v>0.94363636363636361</v>
      </c>
      <c r="Z88" s="44">
        <f>2595</f>
        <v>2595</v>
      </c>
      <c r="AA88" s="44">
        <f>2750</f>
        <v>2750</v>
      </c>
      <c r="AB88" s="44">
        <f t="shared" si="67"/>
        <v>-155</v>
      </c>
      <c r="AC88" s="45">
        <f t="shared" si="68"/>
        <v>0.94363636363636361</v>
      </c>
      <c r="AD88" s="43"/>
      <c r="AE88" s="44">
        <f>2750</f>
        <v>2750</v>
      </c>
      <c r="AF88" s="44">
        <f t="shared" si="69"/>
        <v>-2750</v>
      </c>
      <c r="AG88" s="45">
        <f t="shared" si="70"/>
        <v>0</v>
      </c>
      <c r="AH88" s="43"/>
      <c r="AI88" s="44">
        <f>2750</f>
        <v>2750</v>
      </c>
      <c r="AJ88" s="44">
        <f t="shared" si="71"/>
        <v>-2750</v>
      </c>
      <c r="AK88" s="45">
        <f t="shared" si="72"/>
        <v>0</v>
      </c>
      <c r="AL88" s="43"/>
      <c r="AM88" s="44">
        <f>2750</f>
        <v>2750</v>
      </c>
      <c r="AN88" s="44">
        <f t="shared" si="73"/>
        <v>-2750</v>
      </c>
      <c r="AO88" s="45">
        <f t="shared" si="74"/>
        <v>0</v>
      </c>
      <c r="AP88" s="43"/>
      <c r="AQ88" s="44">
        <f>2750</f>
        <v>2750</v>
      </c>
      <c r="AR88" s="44">
        <f t="shared" si="75"/>
        <v>-2750</v>
      </c>
      <c r="AS88" s="45">
        <f t="shared" si="76"/>
        <v>0</v>
      </c>
      <c r="AT88" s="43"/>
      <c r="AU88" s="44">
        <f>2750</f>
        <v>2750</v>
      </c>
      <c r="AV88" s="44">
        <f t="shared" si="77"/>
        <v>-2750</v>
      </c>
      <c r="AW88" s="45">
        <f t="shared" si="78"/>
        <v>0</v>
      </c>
      <c r="AX88" s="44">
        <f t="shared" si="79"/>
        <v>20280</v>
      </c>
      <c r="AY88" s="44">
        <f t="shared" si="79"/>
        <v>33000</v>
      </c>
      <c r="AZ88" s="44">
        <f t="shared" si="80"/>
        <v>-12720</v>
      </c>
      <c r="BA88" s="45">
        <f t="shared" si="81"/>
        <v>0.61454545454545451</v>
      </c>
    </row>
    <row r="89" spans="1:53" x14ac:dyDescent="0.3">
      <c r="A89" s="42" t="s">
        <v>198</v>
      </c>
      <c r="B89" s="43"/>
      <c r="C89" s="44">
        <f>666.67</f>
        <v>666.67</v>
      </c>
      <c r="D89" s="44">
        <f t="shared" si="55"/>
        <v>-666.67</v>
      </c>
      <c r="E89" s="45">
        <f t="shared" si="56"/>
        <v>0</v>
      </c>
      <c r="F89" s="44">
        <f>338.7</f>
        <v>338.7</v>
      </c>
      <c r="G89" s="44">
        <f>666.67</f>
        <v>666.67</v>
      </c>
      <c r="H89" s="44">
        <f t="shared" si="57"/>
        <v>-327.96999999999997</v>
      </c>
      <c r="I89" s="45">
        <f t="shared" si="58"/>
        <v>0.50804745976270116</v>
      </c>
      <c r="J89" s="43"/>
      <c r="K89" s="44">
        <f>666.67</f>
        <v>666.67</v>
      </c>
      <c r="L89" s="44">
        <f t="shared" si="59"/>
        <v>-666.67</v>
      </c>
      <c r="M89" s="45">
        <f t="shared" si="60"/>
        <v>0</v>
      </c>
      <c r="N89" s="44">
        <f>895</f>
        <v>895</v>
      </c>
      <c r="O89" s="44">
        <f>666.67</f>
        <v>666.67</v>
      </c>
      <c r="P89" s="44">
        <f t="shared" si="61"/>
        <v>228.33000000000004</v>
      </c>
      <c r="Q89" s="45">
        <f t="shared" si="62"/>
        <v>1.3424932875335625</v>
      </c>
      <c r="R89" s="43"/>
      <c r="S89" s="44">
        <f>666.67</f>
        <v>666.67</v>
      </c>
      <c r="T89" s="44">
        <f t="shared" si="63"/>
        <v>-666.67</v>
      </c>
      <c r="U89" s="45">
        <f t="shared" si="64"/>
        <v>0</v>
      </c>
      <c r="V89" s="43"/>
      <c r="W89" s="44">
        <f>666.67</f>
        <v>666.67</v>
      </c>
      <c r="X89" s="44">
        <f t="shared" si="65"/>
        <v>-666.67</v>
      </c>
      <c r="Y89" s="45">
        <f t="shared" si="66"/>
        <v>0</v>
      </c>
      <c r="Z89" s="44">
        <f>1095</f>
        <v>1095</v>
      </c>
      <c r="AA89" s="44">
        <f>666.67</f>
        <v>666.67</v>
      </c>
      <c r="AB89" s="44">
        <f t="shared" si="67"/>
        <v>428.33000000000004</v>
      </c>
      <c r="AC89" s="45">
        <f t="shared" si="68"/>
        <v>1.6424917875410623</v>
      </c>
      <c r="AD89" s="43"/>
      <c r="AE89" s="44">
        <f>666.67</f>
        <v>666.67</v>
      </c>
      <c r="AF89" s="44">
        <f t="shared" si="69"/>
        <v>-666.67</v>
      </c>
      <c r="AG89" s="45">
        <f t="shared" si="70"/>
        <v>0</v>
      </c>
      <c r="AH89" s="43"/>
      <c r="AI89" s="44">
        <f>666.67</f>
        <v>666.67</v>
      </c>
      <c r="AJ89" s="44">
        <f t="shared" si="71"/>
        <v>-666.67</v>
      </c>
      <c r="AK89" s="45">
        <f t="shared" si="72"/>
        <v>0</v>
      </c>
      <c r="AL89" s="43"/>
      <c r="AM89" s="44">
        <f>666.67</f>
        <v>666.67</v>
      </c>
      <c r="AN89" s="44">
        <f t="shared" si="73"/>
        <v>-666.67</v>
      </c>
      <c r="AO89" s="45">
        <f t="shared" si="74"/>
        <v>0</v>
      </c>
      <c r="AP89" s="43"/>
      <c r="AQ89" s="44">
        <f>666.67</f>
        <v>666.67</v>
      </c>
      <c r="AR89" s="44">
        <f t="shared" si="75"/>
        <v>-666.67</v>
      </c>
      <c r="AS89" s="45">
        <f t="shared" si="76"/>
        <v>0</v>
      </c>
      <c r="AT89" s="43"/>
      <c r="AU89" s="44">
        <f>666.63</f>
        <v>666.63</v>
      </c>
      <c r="AV89" s="44">
        <f t="shared" si="77"/>
        <v>-666.63</v>
      </c>
      <c r="AW89" s="45">
        <f t="shared" si="78"/>
        <v>0</v>
      </c>
      <c r="AX89" s="44">
        <f t="shared" si="79"/>
        <v>2328.6999999999998</v>
      </c>
      <c r="AY89" s="44">
        <f t="shared" si="79"/>
        <v>8000</v>
      </c>
      <c r="AZ89" s="44">
        <f t="shared" si="80"/>
        <v>-5671.3</v>
      </c>
      <c r="BA89" s="45">
        <f t="shared" si="81"/>
        <v>0.2910875</v>
      </c>
    </row>
    <row r="90" spans="1:53" x14ac:dyDescent="0.3">
      <c r="A90" s="42" t="s">
        <v>199</v>
      </c>
      <c r="B90" s="44">
        <f>3280</f>
        <v>3280</v>
      </c>
      <c r="C90" s="44">
        <f>316.67</f>
        <v>316.67</v>
      </c>
      <c r="D90" s="44">
        <f t="shared" si="55"/>
        <v>2963.33</v>
      </c>
      <c r="E90" s="45">
        <f t="shared" si="56"/>
        <v>10.357785707518868</v>
      </c>
      <c r="F90" s="43"/>
      <c r="G90" s="44">
        <f>316.67</f>
        <v>316.67</v>
      </c>
      <c r="H90" s="44">
        <f t="shared" si="57"/>
        <v>-316.67</v>
      </c>
      <c r="I90" s="45">
        <f t="shared" si="58"/>
        <v>0</v>
      </c>
      <c r="J90" s="43"/>
      <c r="K90" s="44">
        <f>316.67</f>
        <v>316.67</v>
      </c>
      <c r="L90" s="44">
        <f t="shared" si="59"/>
        <v>-316.67</v>
      </c>
      <c r="M90" s="45">
        <f t="shared" si="60"/>
        <v>0</v>
      </c>
      <c r="N90" s="43"/>
      <c r="O90" s="44">
        <f>316.67</f>
        <v>316.67</v>
      </c>
      <c r="P90" s="44">
        <f t="shared" si="61"/>
        <v>-316.67</v>
      </c>
      <c r="Q90" s="45">
        <f t="shared" si="62"/>
        <v>0</v>
      </c>
      <c r="R90" s="43"/>
      <c r="S90" s="44">
        <f>316.67</f>
        <v>316.67</v>
      </c>
      <c r="T90" s="44">
        <f t="shared" si="63"/>
        <v>-316.67</v>
      </c>
      <c r="U90" s="45">
        <f t="shared" si="64"/>
        <v>0</v>
      </c>
      <c r="V90" s="43"/>
      <c r="W90" s="44">
        <f>316.67</f>
        <v>316.67</v>
      </c>
      <c r="X90" s="44">
        <f t="shared" si="65"/>
        <v>-316.67</v>
      </c>
      <c r="Y90" s="45">
        <f t="shared" si="66"/>
        <v>0</v>
      </c>
      <c r="Z90" s="43"/>
      <c r="AA90" s="44">
        <f>316.67</f>
        <v>316.67</v>
      </c>
      <c r="AB90" s="44">
        <f t="shared" si="67"/>
        <v>-316.67</v>
      </c>
      <c r="AC90" s="45">
        <f t="shared" si="68"/>
        <v>0</v>
      </c>
      <c r="AD90" s="43"/>
      <c r="AE90" s="44">
        <f>316.67</f>
        <v>316.67</v>
      </c>
      <c r="AF90" s="44">
        <f t="shared" si="69"/>
        <v>-316.67</v>
      </c>
      <c r="AG90" s="45">
        <f t="shared" si="70"/>
        <v>0</v>
      </c>
      <c r="AH90" s="43"/>
      <c r="AI90" s="44">
        <f>316.67</f>
        <v>316.67</v>
      </c>
      <c r="AJ90" s="44">
        <f t="shared" si="71"/>
        <v>-316.67</v>
      </c>
      <c r="AK90" s="45">
        <f t="shared" si="72"/>
        <v>0</v>
      </c>
      <c r="AL90" s="43"/>
      <c r="AM90" s="44">
        <f>316.67</f>
        <v>316.67</v>
      </c>
      <c r="AN90" s="44">
        <f t="shared" si="73"/>
        <v>-316.67</v>
      </c>
      <c r="AO90" s="45">
        <f t="shared" si="74"/>
        <v>0</v>
      </c>
      <c r="AP90" s="43"/>
      <c r="AQ90" s="44">
        <f>316.67</f>
        <v>316.67</v>
      </c>
      <c r="AR90" s="44">
        <f t="shared" si="75"/>
        <v>-316.67</v>
      </c>
      <c r="AS90" s="45">
        <f t="shared" si="76"/>
        <v>0</v>
      </c>
      <c r="AT90" s="43"/>
      <c r="AU90" s="44">
        <f>316.63</f>
        <v>316.63</v>
      </c>
      <c r="AV90" s="44">
        <f t="shared" si="77"/>
        <v>-316.63</v>
      </c>
      <c r="AW90" s="45">
        <f t="shared" si="78"/>
        <v>0</v>
      </c>
      <c r="AX90" s="44">
        <f t="shared" si="79"/>
        <v>3280</v>
      </c>
      <c r="AY90" s="44">
        <f t="shared" si="79"/>
        <v>3800.0000000000005</v>
      </c>
      <c r="AZ90" s="44">
        <f t="shared" si="80"/>
        <v>-520.00000000000045</v>
      </c>
      <c r="BA90" s="45">
        <f t="shared" si="81"/>
        <v>0.86315789473684201</v>
      </c>
    </row>
    <row r="91" spans="1:53" x14ac:dyDescent="0.3">
      <c r="A91" s="42" t="s">
        <v>200</v>
      </c>
      <c r="B91" s="43"/>
      <c r="C91" s="44">
        <f>125</f>
        <v>125</v>
      </c>
      <c r="D91" s="44">
        <f t="shared" si="55"/>
        <v>-125</v>
      </c>
      <c r="E91" s="45">
        <f t="shared" si="56"/>
        <v>0</v>
      </c>
      <c r="F91" s="44">
        <f>97.51</f>
        <v>97.51</v>
      </c>
      <c r="G91" s="44">
        <f>125</f>
        <v>125</v>
      </c>
      <c r="H91" s="44">
        <f t="shared" si="57"/>
        <v>-27.489999999999995</v>
      </c>
      <c r="I91" s="45">
        <f t="shared" si="58"/>
        <v>0.78008</v>
      </c>
      <c r="J91" s="43"/>
      <c r="K91" s="44">
        <f>125</f>
        <v>125</v>
      </c>
      <c r="L91" s="44">
        <f t="shared" si="59"/>
        <v>-125</v>
      </c>
      <c r="M91" s="45">
        <f t="shared" si="60"/>
        <v>0</v>
      </c>
      <c r="N91" s="43"/>
      <c r="O91" s="44">
        <f>125</f>
        <v>125</v>
      </c>
      <c r="P91" s="44">
        <f t="shared" si="61"/>
        <v>-125</v>
      </c>
      <c r="Q91" s="45">
        <f t="shared" si="62"/>
        <v>0</v>
      </c>
      <c r="R91" s="43"/>
      <c r="S91" s="44">
        <f>125</f>
        <v>125</v>
      </c>
      <c r="T91" s="44">
        <f t="shared" si="63"/>
        <v>-125</v>
      </c>
      <c r="U91" s="45">
        <f t="shared" si="64"/>
        <v>0</v>
      </c>
      <c r="V91" s="43"/>
      <c r="W91" s="44">
        <f>125</f>
        <v>125</v>
      </c>
      <c r="X91" s="44">
        <f t="shared" si="65"/>
        <v>-125</v>
      </c>
      <c r="Y91" s="45">
        <f t="shared" si="66"/>
        <v>0</v>
      </c>
      <c r="Z91" s="44">
        <f>254.12</f>
        <v>254.12</v>
      </c>
      <c r="AA91" s="44">
        <f>125</f>
        <v>125</v>
      </c>
      <c r="AB91" s="44">
        <f t="shared" si="67"/>
        <v>129.12</v>
      </c>
      <c r="AC91" s="45">
        <f t="shared" si="68"/>
        <v>2.0329600000000001</v>
      </c>
      <c r="AD91" s="43"/>
      <c r="AE91" s="44">
        <f>125</f>
        <v>125</v>
      </c>
      <c r="AF91" s="44">
        <f t="shared" si="69"/>
        <v>-125</v>
      </c>
      <c r="AG91" s="45">
        <f t="shared" si="70"/>
        <v>0</v>
      </c>
      <c r="AH91" s="43"/>
      <c r="AI91" s="44">
        <f>125</f>
        <v>125</v>
      </c>
      <c r="AJ91" s="44">
        <f t="shared" si="71"/>
        <v>-125</v>
      </c>
      <c r="AK91" s="45">
        <f t="shared" si="72"/>
        <v>0</v>
      </c>
      <c r="AL91" s="43"/>
      <c r="AM91" s="44">
        <f>125</f>
        <v>125</v>
      </c>
      <c r="AN91" s="44">
        <f t="shared" si="73"/>
        <v>-125</v>
      </c>
      <c r="AO91" s="45">
        <f t="shared" si="74"/>
        <v>0</v>
      </c>
      <c r="AP91" s="43"/>
      <c r="AQ91" s="44">
        <f>125</f>
        <v>125</v>
      </c>
      <c r="AR91" s="44">
        <f t="shared" si="75"/>
        <v>-125</v>
      </c>
      <c r="AS91" s="45">
        <f t="shared" si="76"/>
        <v>0</v>
      </c>
      <c r="AT91" s="43"/>
      <c r="AU91" s="44">
        <f>125</f>
        <v>125</v>
      </c>
      <c r="AV91" s="44">
        <f t="shared" si="77"/>
        <v>-125</v>
      </c>
      <c r="AW91" s="45">
        <f t="shared" si="78"/>
        <v>0</v>
      </c>
      <c r="AX91" s="44">
        <f t="shared" si="79"/>
        <v>351.63</v>
      </c>
      <c r="AY91" s="44">
        <f t="shared" si="79"/>
        <v>1500</v>
      </c>
      <c r="AZ91" s="44">
        <f t="shared" si="80"/>
        <v>-1148.3699999999999</v>
      </c>
      <c r="BA91" s="45">
        <f t="shared" si="81"/>
        <v>0.23441999999999999</v>
      </c>
    </row>
    <row r="92" spans="1:53" x14ac:dyDescent="0.3">
      <c r="A92" s="42" t="s">
        <v>201</v>
      </c>
      <c r="B92" s="44">
        <f>66.97</f>
        <v>66.97</v>
      </c>
      <c r="C92" s="44">
        <f>1500</f>
        <v>1500</v>
      </c>
      <c r="D92" s="44">
        <f t="shared" si="55"/>
        <v>-1433.03</v>
      </c>
      <c r="E92" s="45">
        <f t="shared" si="56"/>
        <v>4.4646666666666668E-2</v>
      </c>
      <c r="F92" s="44">
        <f>194.59</f>
        <v>194.59</v>
      </c>
      <c r="G92" s="44">
        <f>1500</f>
        <v>1500</v>
      </c>
      <c r="H92" s="44">
        <f t="shared" si="57"/>
        <v>-1305.4100000000001</v>
      </c>
      <c r="I92" s="45">
        <f t="shared" si="58"/>
        <v>0.12972666666666666</v>
      </c>
      <c r="J92" s="44">
        <f>1018.9</f>
        <v>1018.9</v>
      </c>
      <c r="K92" s="44">
        <f>1500</f>
        <v>1500</v>
      </c>
      <c r="L92" s="44">
        <f t="shared" si="59"/>
        <v>-481.1</v>
      </c>
      <c r="M92" s="45">
        <f t="shared" si="60"/>
        <v>0.67926666666666669</v>
      </c>
      <c r="N92" s="44">
        <f>20.59</f>
        <v>20.59</v>
      </c>
      <c r="O92" s="44">
        <f>1500</f>
        <v>1500</v>
      </c>
      <c r="P92" s="44">
        <f t="shared" si="61"/>
        <v>-1479.41</v>
      </c>
      <c r="Q92" s="45">
        <f t="shared" si="62"/>
        <v>1.3726666666666667E-2</v>
      </c>
      <c r="R92" s="44">
        <f>4567.54</f>
        <v>4567.54</v>
      </c>
      <c r="S92" s="44">
        <f>1500</f>
        <v>1500</v>
      </c>
      <c r="T92" s="44">
        <f t="shared" si="63"/>
        <v>3067.54</v>
      </c>
      <c r="U92" s="45">
        <f t="shared" si="64"/>
        <v>3.0450266666666668</v>
      </c>
      <c r="V92" s="44">
        <f>135.59</f>
        <v>135.59</v>
      </c>
      <c r="W92" s="44">
        <f>1500</f>
        <v>1500</v>
      </c>
      <c r="X92" s="44">
        <f t="shared" si="65"/>
        <v>-1364.41</v>
      </c>
      <c r="Y92" s="45">
        <f t="shared" si="66"/>
        <v>9.0393333333333339E-2</v>
      </c>
      <c r="Z92" s="44">
        <f>135.59</f>
        <v>135.59</v>
      </c>
      <c r="AA92" s="44">
        <f>1500</f>
        <v>1500</v>
      </c>
      <c r="AB92" s="44">
        <f t="shared" si="67"/>
        <v>-1364.41</v>
      </c>
      <c r="AC92" s="45">
        <f t="shared" si="68"/>
        <v>9.0393333333333339E-2</v>
      </c>
      <c r="AD92" s="44">
        <f>135.59</f>
        <v>135.59</v>
      </c>
      <c r="AE92" s="44">
        <f>1500</f>
        <v>1500</v>
      </c>
      <c r="AF92" s="44">
        <f t="shared" si="69"/>
        <v>-1364.41</v>
      </c>
      <c r="AG92" s="45">
        <f t="shared" si="70"/>
        <v>9.0393333333333339E-2</v>
      </c>
      <c r="AH92" s="43"/>
      <c r="AI92" s="44">
        <f>1500</f>
        <v>1500</v>
      </c>
      <c r="AJ92" s="44">
        <f t="shared" si="71"/>
        <v>-1500</v>
      </c>
      <c r="AK92" s="45">
        <f t="shared" si="72"/>
        <v>0</v>
      </c>
      <c r="AL92" s="43"/>
      <c r="AM92" s="44">
        <f>1500</f>
        <v>1500</v>
      </c>
      <c r="AN92" s="44">
        <f t="shared" si="73"/>
        <v>-1500</v>
      </c>
      <c r="AO92" s="45">
        <f t="shared" si="74"/>
        <v>0</v>
      </c>
      <c r="AP92" s="43"/>
      <c r="AQ92" s="44">
        <f>1500</f>
        <v>1500</v>
      </c>
      <c r="AR92" s="44">
        <f t="shared" si="75"/>
        <v>-1500</v>
      </c>
      <c r="AS92" s="45">
        <f t="shared" si="76"/>
        <v>0</v>
      </c>
      <c r="AT92" s="43"/>
      <c r="AU92" s="44">
        <f>1500</f>
        <v>1500</v>
      </c>
      <c r="AV92" s="44">
        <f t="shared" si="77"/>
        <v>-1500</v>
      </c>
      <c r="AW92" s="45">
        <f t="shared" si="78"/>
        <v>0</v>
      </c>
      <c r="AX92" s="44">
        <f t="shared" si="79"/>
        <v>6275.3600000000006</v>
      </c>
      <c r="AY92" s="44">
        <f t="shared" si="79"/>
        <v>18000</v>
      </c>
      <c r="AZ92" s="44">
        <f t="shared" si="80"/>
        <v>-11724.64</v>
      </c>
      <c r="BA92" s="45">
        <f t="shared" si="81"/>
        <v>0.34863111111111117</v>
      </c>
    </row>
    <row r="93" spans="1:53" x14ac:dyDescent="0.3">
      <c r="A93" s="42" t="s">
        <v>202</v>
      </c>
      <c r="B93" s="46">
        <f>(((((B87)+(B88))+(B89))+(B90))+(B91))+(B92)</f>
        <v>3346.97</v>
      </c>
      <c r="C93" s="46">
        <f>(((((C87)+(C88))+(C89))+(C90))+(C91))+(C92)</f>
        <v>5358.34</v>
      </c>
      <c r="D93" s="46">
        <f t="shared" si="55"/>
        <v>-2011.3700000000003</v>
      </c>
      <c r="E93" s="47">
        <f t="shared" si="56"/>
        <v>0.62462814976279957</v>
      </c>
      <c r="F93" s="46">
        <f>(((((F87)+(F88))+(F89))+(F90))+(F91))+(F92)</f>
        <v>5820.8</v>
      </c>
      <c r="G93" s="46">
        <f>(((((G87)+(G88))+(G89))+(G90))+(G91))+(G92)</f>
        <v>5358.34</v>
      </c>
      <c r="H93" s="46">
        <f t="shared" si="57"/>
        <v>462.46000000000004</v>
      </c>
      <c r="I93" s="47">
        <f t="shared" si="58"/>
        <v>1.0863065800229175</v>
      </c>
      <c r="J93" s="46">
        <f>(((((J87)+(J88))+(J89))+(J90))+(J91))+(J92)</f>
        <v>3613.9</v>
      </c>
      <c r="K93" s="46">
        <f>(((((K87)+(K88))+(K89))+(K90))+(K91))+(K92)</f>
        <v>5358.34</v>
      </c>
      <c r="L93" s="46">
        <f t="shared" si="59"/>
        <v>-1744.44</v>
      </c>
      <c r="M93" s="47">
        <f t="shared" si="60"/>
        <v>0.6744439509250999</v>
      </c>
      <c r="N93" s="46">
        <f>(((((N87)+(N88))+(N89))+(N90))+(N91))+(N92)</f>
        <v>5625.59</v>
      </c>
      <c r="O93" s="46">
        <f>(((((O87)+(O88))+(O89))+(O90))+(O91))+(O92)</f>
        <v>5358.34</v>
      </c>
      <c r="P93" s="46">
        <f t="shared" si="61"/>
        <v>267.25</v>
      </c>
      <c r="Q93" s="47">
        <f t="shared" si="62"/>
        <v>1.0498755211502069</v>
      </c>
      <c r="R93" s="46">
        <f>(((((R87)+(R88))+(R89))+(R90))+(R91))+(R92)</f>
        <v>7162.54</v>
      </c>
      <c r="S93" s="46">
        <f>(((((S87)+(S88))+(S89))+(S90))+(S91))+(S92)</f>
        <v>5358.34</v>
      </c>
      <c r="T93" s="46">
        <f t="shared" si="63"/>
        <v>1804.1999999999998</v>
      </c>
      <c r="U93" s="47">
        <f t="shared" si="64"/>
        <v>1.3367087568164766</v>
      </c>
      <c r="V93" s="46">
        <f>(((((V87)+(V88))+(V89))+(V90))+(V91))+(V92)</f>
        <v>2730.59</v>
      </c>
      <c r="W93" s="46">
        <f>(((((W87)+(W88))+(W89))+(W90))+(W91))+(W92)</f>
        <v>5358.34</v>
      </c>
      <c r="X93" s="46">
        <f t="shared" si="65"/>
        <v>-2627.75</v>
      </c>
      <c r="Y93" s="47">
        <f t="shared" si="66"/>
        <v>0.50959625555675825</v>
      </c>
      <c r="Z93" s="46">
        <f>(((((Z87)+(Z88))+(Z89))+(Z90))+(Z91))+(Z92)</f>
        <v>4079.71</v>
      </c>
      <c r="AA93" s="46">
        <f>(((((AA87)+(AA88))+(AA89))+(AA90))+(AA91))+(AA92)</f>
        <v>5358.34</v>
      </c>
      <c r="AB93" s="46">
        <f t="shared" si="67"/>
        <v>-1278.6300000000001</v>
      </c>
      <c r="AC93" s="47">
        <f t="shared" si="68"/>
        <v>0.76137572457141578</v>
      </c>
      <c r="AD93" s="46">
        <f>(((((AD87)+(AD88))+(AD89))+(AD90))+(AD91))+(AD92)</f>
        <v>135.59</v>
      </c>
      <c r="AE93" s="46">
        <f>(((((AE87)+(AE88))+(AE89))+(AE90))+(AE91))+(AE92)</f>
        <v>5358.34</v>
      </c>
      <c r="AF93" s="46">
        <f t="shared" si="69"/>
        <v>-5222.75</v>
      </c>
      <c r="AG93" s="47">
        <f t="shared" si="70"/>
        <v>2.5304478625843077E-2</v>
      </c>
      <c r="AH93" s="46">
        <f>(((((AH87)+(AH88))+(AH89))+(AH90))+(AH91))+(AH92)</f>
        <v>0</v>
      </c>
      <c r="AI93" s="46">
        <f>(((((AI87)+(AI88))+(AI89))+(AI90))+(AI91))+(AI92)</f>
        <v>5358.34</v>
      </c>
      <c r="AJ93" s="46">
        <f t="shared" si="71"/>
        <v>-5358.34</v>
      </c>
      <c r="AK93" s="47">
        <f t="shared" si="72"/>
        <v>0</v>
      </c>
      <c r="AL93" s="46">
        <f>(((((AL87)+(AL88))+(AL89))+(AL90))+(AL91))+(AL92)</f>
        <v>0</v>
      </c>
      <c r="AM93" s="46">
        <f>(((((AM87)+(AM88))+(AM89))+(AM90))+(AM91))+(AM92)</f>
        <v>5358.34</v>
      </c>
      <c r="AN93" s="46">
        <f t="shared" si="73"/>
        <v>-5358.34</v>
      </c>
      <c r="AO93" s="47">
        <f t="shared" si="74"/>
        <v>0</v>
      </c>
      <c r="AP93" s="46">
        <f>(((((AP87)+(AP88))+(AP89))+(AP90))+(AP91))+(AP92)</f>
        <v>0</v>
      </c>
      <c r="AQ93" s="46">
        <f>(((((AQ87)+(AQ88))+(AQ89))+(AQ90))+(AQ91))+(AQ92)</f>
        <v>5358.34</v>
      </c>
      <c r="AR93" s="46">
        <f t="shared" si="75"/>
        <v>-5358.34</v>
      </c>
      <c r="AS93" s="47">
        <f t="shared" si="76"/>
        <v>0</v>
      </c>
      <c r="AT93" s="46">
        <f>(((((AT87)+(AT88))+(AT89))+(AT90))+(AT91))+(AT92)</f>
        <v>0</v>
      </c>
      <c r="AU93" s="46">
        <f>(((((AU87)+(AU88))+(AU89))+(AU90))+(AU91))+(AU92)</f>
        <v>5358.26</v>
      </c>
      <c r="AV93" s="46">
        <f t="shared" si="77"/>
        <v>-5358.26</v>
      </c>
      <c r="AW93" s="47">
        <f t="shared" si="78"/>
        <v>0</v>
      </c>
      <c r="AX93" s="46">
        <f t="shared" si="79"/>
        <v>32515.690000000002</v>
      </c>
      <c r="AY93" s="46">
        <f t="shared" si="79"/>
        <v>64299.999999999993</v>
      </c>
      <c r="AZ93" s="46">
        <f t="shared" si="80"/>
        <v>-31784.30999999999</v>
      </c>
      <c r="BA93" s="47">
        <f t="shared" si="81"/>
        <v>0.50568724727838266</v>
      </c>
    </row>
    <row r="94" spans="1:53" x14ac:dyDescent="0.3">
      <c r="A94" s="42" t="s">
        <v>203</v>
      </c>
      <c r="B94" s="43"/>
      <c r="C94" s="43"/>
      <c r="D94" s="44">
        <f t="shared" si="55"/>
        <v>0</v>
      </c>
      <c r="E94" s="45" t="str">
        <f t="shared" si="56"/>
        <v/>
      </c>
      <c r="F94" s="43"/>
      <c r="G94" s="43"/>
      <c r="H94" s="44">
        <f t="shared" si="57"/>
        <v>0</v>
      </c>
      <c r="I94" s="45" t="str">
        <f t="shared" si="58"/>
        <v/>
      </c>
      <c r="J94" s="43"/>
      <c r="K94" s="43"/>
      <c r="L94" s="44">
        <f t="shared" si="59"/>
        <v>0</v>
      </c>
      <c r="M94" s="45" t="str">
        <f t="shared" si="60"/>
        <v/>
      </c>
      <c r="N94" s="43"/>
      <c r="O94" s="43"/>
      <c r="P94" s="44">
        <f t="shared" si="61"/>
        <v>0</v>
      </c>
      <c r="Q94" s="45" t="str">
        <f t="shared" si="62"/>
        <v/>
      </c>
      <c r="R94" s="43"/>
      <c r="S94" s="43"/>
      <c r="T94" s="44">
        <f t="shared" si="63"/>
        <v>0</v>
      </c>
      <c r="U94" s="45" t="str">
        <f t="shared" si="64"/>
        <v/>
      </c>
      <c r="V94" s="43"/>
      <c r="W94" s="43"/>
      <c r="X94" s="44">
        <f t="shared" si="65"/>
        <v>0</v>
      </c>
      <c r="Y94" s="45" t="str">
        <f t="shared" si="66"/>
        <v/>
      </c>
      <c r="Z94" s="43"/>
      <c r="AA94" s="43"/>
      <c r="AB94" s="44">
        <f t="shared" si="67"/>
        <v>0</v>
      </c>
      <c r="AC94" s="45" t="str">
        <f t="shared" si="68"/>
        <v/>
      </c>
      <c r="AD94" s="43"/>
      <c r="AE94" s="43"/>
      <c r="AF94" s="44">
        <f t="shared" si="69"/>
        <v>0</v>
      </c>
      <c r="AG94" s="45" t="str">
        <f t="shared" si="70"/>
        <v/>
      </c>
      <c r="AH94" s="43"/>
      <c r="AI94" s="43"/>
      <c r="AJ94" s="44">
        <f t="shared" si="71"/>
        <v>0</v>
      </c>
      <c r="AK94" s="45" t="str">
        <f t="shared" si="72"/>
        <v/>
      </c>
      <c r="AL94" s="43"/>
      <c r="AM94" s="43"/>
      <c r="AN94" s="44">
        <f t="shared" si="73"/>
        <v>0</v>
      </c>
      <c r="AO94" s="45" t="str">
        <f t="shared" si="74"/>
        <v/>
      </c>
      <c r="AP94" s="43"/>
      <c r="AQ94" s="43"/>
      <c r="AR94" s="44">
        <f t="shared" si="75"/>
        <v>0</v>
      </c>
      <c r="AS94" s="45" t="str">
        <f t="shared" si="76"/>
        <v/>
      </c>
      <c r="AT94" s="43"/>
      <c r="AU94" s="43"/>
      <c r="AV94" s="44">
        <f t="shared" si="77"/>
        <v>0</v>
      </c>
      <c r="AW94" s="45" t="str">
        <f t="shared" si="78"/>
        <v/>
      </c>
      <c r="AX94" s="44">
        <f t="shared" si="79"/>
        <v>0</v>
      </c>
      <c r="AY94" s="44">
        <f t="shared" si="79"/>
        <v>0</v>
      </c>
      <c r="AZ94" s="44">
        <f t="shared" si="80"/>
        <v>0</v>
      </c>
      <c r="BA94" s="45" t="str">
        <f t="shared" si="81"/>
        <v/>
      </c>
    </row>
    <row r="95" spans="1:53" x14ac:dyDescent="0.3">
      <c r="A95" s="42" t="s">
        <v>204</v>
      </c>
      <c r="B95" s="44">
        <f>473.75</f>
        <v>473.75</v>
      </c>
      <c r="C95" s="44">
        <f>666.67</f>
        <v>666.67</v>
      </c>
      <c r="D95" s="44">
        <f t="shared" si="55"/>
        <v>-192.91999999999996</v>
      </c>
      <c r="E95" s="45">
        <f t="shared" si="56"/>
        <v>0.71062144689276563</v>
      </c>
      <c r="F95" s="44">
        <f>473.75</f>
        <v>473.75</v>
      </c>
      <c r="G95" s="44">
        <f>666.67</f>
        <v>666.67</v>
      </c>
      <c r="H95" s="44">
        <f t="shared" si="57"/>
        <v>-192.91999999999996</v>
      </c>
      <c r="I95" s="45">
        <f t="shared" si="58"/>
        <v>0.71062144689276563</v>
      </c>
      <c r="J95" s="44">
        <f>473.75</f>
        <v>473.75</v>
      </c>
      <c r="K95" s="44">
        <f>666.67</f>
        <v>666.67</v>
      </c>
      <c r="L95" s="44">
        <f t="shared" si="59"/>
        <v>-192.91999999999996</v>
      </c>
      <c r="M95" s="45">
        <f t="shared" si="60"/>
        <v>0.71062144689276563</v>
      </c>
      <c r="N95" s="44">
        <f>473.57</f>
        <v>473.57</v>
      </c>
      <c r="O95" s="44">
        <f>666.67</f>
        <v>666.67</v>
      </c>
      <c r="P95" s="44">
        <f t="shared" si="61"/>
        <v>-193.09999999999997</v>
      </c>
      <c r="Q95" s="45">
        <f t="shared" si="62"/>
        <v>0.71035144824275886</v>
      </c>
      <c r="R95" s="44">
        <f>473.57</f>
        <v>473.57</v>
      </c>
      <c r="S95" s="44">
        <f>666.67</f>
        <v>666.67</v>
      </c>
      <c r="T95" s="44">
        <f t="shared" si="63"/>
        <v>-193.09999999999997</v>
      </c>
      <c r="U95" s="45">
        <f t="shared" si="64"/>
        <v>0.71035144824275886</v>
      </c>
      <c r="V95" s="44">
        <f>473.57</f>
        <v>473.57</v>
      </c>
      <c r="W95" s="44">
        <f>666.67</f>
        <v>666.67</v>
      </c>
      <c r="X95" s="44">
        <f t="shared" si="65"/>
        <v>-193.09999999999997</v>
      </c>
      <c r="Y95" s="45">
        <f t="shared" si="66"/>
        <v>0.71035144824275886</v>
      </c>
      <c r="Z95" s="44">
        <f>473.9</f>
        <v>473.9</v>
      </c>
      <c r="AA95" s="44">
        <f>666.67</f>
        <v>666.67</v>
      </c>
      <c r="AB95" s="44">
        <f t="shared" si="67"/>
        <v>-192.76999999999998</v>
      </c>
      <c r="AC95" s="45">
        <f t="shared" si="68"/>
        <v>0.71084644576777112</v>
      </c>
      <c r="AD95" s="44">
        <f>474.59</f>
        <v>474.59</v>
      </c>
      <c r="AE95" s="44">
        <f>666.67</f>
        <v>666.67</v>
      </c>
      <c r="AF95" s="44">
        <f t="shared" si="69"/>
        <v>-192.07999999999998</v>
      </c>
      <c r="AG95" s="45">
        <f t="shared" si="70"/>
        <v>0.71188144059279701</v>
      </c>
      <c r="AH95" s="43"/>
      <c r="AI95" s="44">
        <f>666.67</f>
        <v>666.67</v>
      </c>
      <c r="AJ95" s="44">
        <f t="shared" si="71"/>
        <v>-666.67</v>
      </c>
      <c r="AK95" s="45">
        <f t="shared" si="72"/>
        <v>0</v>
      </c>
      <c r="AL95" s="43"/>
      <c r="AM95" s="44">
        <f>666.67</f>
        <v>666.67</v>
      </c>
      <c r="AN95" s="44">
        <f t="shared" si="73"/>
        <v>-666.67</v>
      </c>
      <c r="AO95" s="45">
        <f t="shared" si="74"/>
        <v>0</v>
      </c>
      <c r="AP95" s="43"/>
      <c r="AQ95" s="44">
        <f>666.67</f>
        <v>666.67</v>
      </c>
      <c r="AR95" s="44">
        <f t="shared" si="75"/>
        <v>-666.67</v>
      </c>
      <c r="AS95" s="45">
        <f t="shared" si="76"/>
        <v>0</v>
      </c>
      <c r="AT95" s="43"/>
      <c r="AU95" s="44">
        <f>666.63</f>
        <v>666.63</v>
      </c>
      <c r="AV95" s="44">
        <f t="shared" si="77"/>
        <v>-666.63</v>
      </c>
      <c r="AW95" s="45">
        <f t="shared" si="78"/>
        <v>0</v>
      </c>
      <c r="AX95" s="44">
        <f t="shared" si="79"/>
        <v>3790.4500000000003</v>
      </c>
      <c r="AY95" s="44">
        <f t="shared" si="79"/>
        <v>8000</v>
      </c>
      <c r="AZ95" s="44">
        <f t="shared" si="80"/>
        <v>-4209.5499999999993</v>
      </c>
      <c r="BA95" s="45">
        <f t="shared" si="81"/>
        <v>0.47380625000000004</v>
      </c>
    </row>
    <row r="96" spans="1:53" x14ac:dyDescent="0.3">
      <c r="A96" s="42" t="s">
        <v>205</v>
      </c>
      <c r="B96" s="43"/>
      <c r="C96" s="44">
        <f>1166.67</f>
        <v>1166.67</v>
      </c>
      <c r="D96" s="44">
        <f t="shared" si="55"/>
        <v>-1166.67</v>
      </c>
      <c r="E96" s="45">
        <f t="shared" si="56"/>
        <v>0</v>
      </c>
      <c r="F96" s="44">
        <f>1126.87</f>
        <v>1126.8699999999999</v>
      </c>
      <c r="G96" s="44">
        <f>1166.67</f>
        <v>1166.67</v>
      </c>
      <c r="H96" s="44">
        <f t="shared" si="57"/>
        <v>-39.800000000000182</v>
      </c>
      <c r="I96" s="45">
        <f t="shared" si="58"/>
        <v>0.96588581175482335</v>
      </c>
      <c r="J96" s="44">
        <f>955.49</f>
        <v>955.49</v>
      </c>
      <c r="K96" s="44">
        <f>1166.67</f>
        <v>1166.67</v>
      </c>
      <c r="L96" s="44">
        <f t="shared" si="59"/>
        <v>-211.18000000000006</v>
      </c>
      <c r="M96" s="45">
        <f t="shared" si="60"/>
        <v>0.818989088602604</v>
      </c>
      <c r="N96" s="44">
        <f>793.41</f>
        <v>793.41</v>
      </c>
      <c r="O96" s="44">
        <f>1166.67</f>
        <v>1166.67</v>
      </c>
      <c r="P96" s="44">
        <f t="shared" si="61"/>
        <v>-373.2600000000001</v>
      </c>
      <c r="Q96" s="45">
        <f t="shared" si="62"/>
        <v>0.68006377124636774</v>
      </c>
      <c r="R96" s="44">
        <f>686.94</f>
        <v>686.94</v>
      </c>
      <c r="S96" s="44">
        <f>1166.67</f>
        <v>1166.67</v>
      </c>
      <c r="T96" s="44">
        <f t="shared" si="63"/>
        <v>-479.73</v>
      </c>
      <c r="U96" s="45">
        <f t="shared" si="64"/>
        <v>0.58880403198848008</v>
      </c>
      <c r="V96" s="44">
        <f>711.83</f>
        <v>711.83</v>
      </c>
      <c r="W96" s="44">
        <f>1166.67</f>
        <v>1166.67</v>
      </c>
      <c r="X96" s="44">
        <f t="shared" si="65"/>
        <v>-454.84000000000003</v>
      </c>
      <c r="Y96" s="45">
        <f t="shared" si="66"/>
        <v>0.61013825674783784</v>
      </c>
      <c r="Z96" s="44">
        <f>824.74</f>
        <v>824.74</v>
      </c>
      <c r="AA96" s="44">
        <f>1166.67</f>
        <v>1166.67</v>
      </c>
      <c r="AB96" s="44">
        <f t="shared" si="67"/>
        <v>-341.93000000000006</v>
      </c>
      <c r="AC96" s="45">
        <f t="shared" si="68"/>
        <v>0.70691798023434216</v>
      </c>
      <c r="AD96" s="44">
        <f>925.27</f>
        <v>925.27</v>
      </c>
      <c r="AE96" s="44">
        <f>1166.67</f>
        <v>1166.67</v>
      </c>
      <c r="AF96" s="44">
        <f t="shared" si="69"/>
        <v>-241.40000000000009</v>
      </c>
      <c r="AG96" s="45">
        <f t="shared" si="70"/>
        <v>0.79308630546769865</v>
      </c>
      <c r="AH96" s="43"/>
      <c r="AI96" s="44">
        <f>1166.67</f>
        <v>1166.67</v>
      </c>
      <c r="AJ96" s="44">
        <f t="shared" si="71"/>
        <v>-1166.67</v>
      </c>
      <c r="AK96" s="45">
        <f t="shared" si="72"/>
        <v>0</v>
      </c>
      <c r="AL96" s="43"/>
      <c r="AM96" s="44">
        <f>1166.67</f>
        <v>1166.67</v>
      </c>
      <c r="AN96" s="44">
        <f t="shared" si="73"/>
        <v>-1166.67</v>
      </c>
      <c r="AO96" s="45">
        <f t="shared" si="74"/>
        <v>0</v>
      </c>
      <c r="AP96" s="43"/>
      <c r="AQ96" s="44">
        <f>1166.67</f>
        <v>1166.67</v>
      </c>
      <c r="AR96" s="44">
        <f t="shared" si="75"/>
        <v>-1166.67</v>
      </c>
      <c r="AS96" s="45">
        <f t="shared" si="76"/>
        <v>0</v>
      </c>
      <c r="AT96" s="43"/>
      <c r="AU96" s="44">
        <f>1166.63</f>
        <v>1166.6300000000001</v>
      </c>
      <c r="AV96" s="44">
        <f t="shared" si="77"/>
        <v>-1166.6300000000001</v>
      </c>
      <c r="AW96" s="45">
        <f t="shared" si="78"/>
        <v>0</v>
      </c>
      <c r="AX96" s="44">
        <f t="shared" si="79"/>
        <v>6024.5499999999993</v>
      </c>
      <c r="AY96" s="44">
        <f t="shared" si="79"/>
        <v>14000</v>
      </c>
      <c r="AZ96" s="44">
        <f t="shared" si="80"/>
        <v>-7975.4500000000007</v>
      </c>
      <c r="BA96" s="45">
        <f t="shared" si="81"/>
        <v>0.43032499999999996</v>
      </c>
    </row>
    <row r="97" spans="1:53" x14ac:dyDescent="0.3">
      <c r="A97" s="42" t="s">
        <v>206</v>
      </c>
      <c r="B97" s="44">
        <f>40</f>
        <v>40</v>
      </c>
      <c r="C97" s="44">
        <f>41.67</f>
        <v>41.67</v>
      </c>
      <c r="D97" s="44">
        <f t="shared" si="55"/>
        <v>-1.6700000000000017</v>
      </c>
      <c r="E97" s="45">
        <f t="shared" si="56"/>
        <v>0.95992320614350846</v>
      </c>
      <c r="F97" s="44">
        <f>45</f>
        <v>45</v>
      </c>
      <c r="G97" s="44">
        <f>41.67</f>
        <v>41.67</v>
      </c>
      <c r="H97" s="44">
        <f t="shared" si="57"/>
        <v>3.3299999999999983</v>
      </c>
      <c r="I97" s="45">
        <f t="shared" si="58"/>
        <v>1.079913606911447</v>
      </c>
      <c r="J97" s="44">
        <f>45</f>
        <v>45</v>
      </c>
      <c r="K97" s="44">
        <f>41.67</f>
        <v>41.67</v>
      </c>
      <c r="L97" s="44">
        <f t="shared" si="59"/>
        <v>3.3299999999999983</v>
      </c>
      <c r="M97" s="45">
        <f t="shared" si="60"/>
        <v>1.079913606911447</v>
      </c>
      <c r="N97" s="44">
        <f>45</f>
        <v>45</v>
      </c>
      <c r="O97" s="44">
        <f>41.67</f>
        <v>41.67</v>
      </c>
      <c r="P97" s="44">
        <f t="shared" si="61"/>
        <v>3.3299999999999983</v>
      </c>
      <c r="Q97" s="45">
        <f t="shared" si="62"/>
        <v>1.079913606911447</v>
      </c>
      <c r="R97" s="44">
        <f>45</f>
        <v>45</v>
      </c>
      <c r="S97" s="44">
        <f>41.67</f>
        <v>41.67</v>
      </c>
      <c r="T97" s="44">
        <f t="shared" si="63"/>
        <v>3.3299999999999983</v>
      </c>
      <c r="U97" s="45">
        <f t="shared" si="64"/>
        <v>1.079913606911447</v>
      </c>
      <c r="V97" s="44">
        <f>45</f>
        <v>45</v>
      </c>
      <c r="W97" s="44">
        <f>41.67</f>
        <v>41.67</v>
      </c>
      <c r="X97" s="44">
        <f t="shared" si="65"/>
        <v>3.3299999999999983</v>
      </c>
      <c r="Y97" s="45">
        <f t="shared" si="66"/>
        <v>1.079913606911447</v>
      </c>
      <c r="Z97" s="44">
        <f>45</f>
        <v>45</v>
      </c>
      <c r="AA97" s="44">
        <f>41.67</f>
        <v>41.67</v>
      </c>
      <c r="AB97" s="44">
        <f t="shared" si="67"/>
        <v>3.3299999999999983</v>
      </c>
      <c r="AC97" s="45">
        <f t="shared" si="68"/>
        <v>1.079913606911447</v>
      </c>
      <c r="AD97" s="44">
        <f>45</f>
        <v>45</v>
      </c>
      <c r="AE97" s="44">
        <f>41.67</f>
        <v>41.67</v>
      </c>
      <c r="AF97" s="44">
        <f t="shared" si="69"/>
        <v>3.3299999999999983</v>
      </c>
      <c r="AG97" s="45">
        <f t="shared" si="70"/>
        <v>1.079913606911447</v>
      </c>
      <c r="AH97" s="43"/>
      <c r="AI97" s="44">
        <f>41.67</f>
        <v>41.67</v>
      </c>
      <c r="AJ97" s="44">
        <f t="shared" si="71"/>
        <v>-41.67</v>
      </c>
      <c r="AK97" s="45">
        <f t="shared" si="72"/>
        <v>0</v>
      </c>
      <c r="AL97" s="43"/>
      <c r="AM97" s="44">
        <f>41.67</f>
        <v>41.67</v>
      </c>
      <c r="AN97" s="44">
        <f t="shared" si="73"/>
        <v>-41.67</v>
      </c>
      <c r="AO97" s="45">
        <f t="shared" si="74"/>
        <v>0</v>
      </c>
      <c r="AP97" s="43"/>
      <c r="AQ97" s="44">
        <f>41.67</f>
        <v>41.67</v>
      </c>
      <c r="AR97" s="44">
        <f t="shared" si="75"/>
        <v>-41.67</v>
      </c>
      <c r="AS97" s="45">
        <f t="shared" si="76"/>
        <v>0</v>
      </c>
      <c r="AT97" s="43"/>
      <c r="AU97" s="44">
        <f>41.63</f>
        <v>41.63</v>
      </c>
      <c r="AV97" s="44">
        <f t="shared" si="77"/>
        <v>-41.63</v>
      </c>
      <c r="AW97" s="45">
        <f t="shared" si="78"/>
        <v>0</v>
      </c>
      <c r="AX97" s="44">
        <f t="shared" si="79"/>
        <v>355</v>
      </c>
      <c r="AY97" s="44">
        <f t="shared" si="79"/>
        <v>500.00000000000011</v>
      </c>
      <c r="AZ97" s="44">
        <f t="shared" si="80"/>
        <v>-145.00000000000011</v>
      </c>
      <c r="BA97" s="45">
        <f t="shared" si="81"/>
        <v>0.70999999999999985</v>
      </c>
    </row>
    <row r="98" spans="1:53" x14ac:dyDescent="0.3">
      <c r="A98" s="42" t="s">
        <v>207</v>
      </c>
      <c r="B98" s="44">
        <f>240.02</f>
        <v>240.02</v>
      </c>
      <c r="C98" s="44">
        <f>250</f>
        <v>250</v>
      </c>
      <c r="D98" s="44">
        <f t="shared" si="55"/>
        <v>-9.9799999999999898</v>
      </c>
      <c r="E98" s="45">
        <f t="shared" si="56"/>
        <v>0.96008000000000004</v>
      </c>
      <c r="F98" s="44">
        <f>114.53</f>
        <v>114.53</v>
      </c>
      <c r="G98" s="44">
        <f>250</f>
        <v>250</v>
      </c>
      <c r="H98" s="44">
        <f t="shared" si="57"/>
        <v>-135.47</v>
      </c>
      <c r="I98" s="45">
        <f t="shared" si="58"/>
        <v>0.45812000000000003</v>
      </c>
      <c r="J98" s="44">
        <f>110.75</f>
        <v>110.75</v>
      </c>
      <c r="K98" s="44">
        <f>250</f>
        <v>250</v>
      </c>
      <c r="L98" s="44">
        <f t="shared" si="59"/>
        <v>-139.25</v>
      </c>
      <c r="M98" s="45">
        <f t="shared" si="60"/>
        <v>0.443</v>
      </c>
      <c r="N98" s="44">
        <f>118.31</f>
        <v>118.31</v>
      </c>
      <c r="O98" s="44">
        <f>250</f>
        <v>250</v>
      </c>
      <c r="P98" s="44">
        <f t="shared" si="61"/>
        <v>-131.69</v>
      </c>
      <c r="Q98" s="45">
        <f t="shared" si="62"/>
        <v>0.47323999999999999</v>
      </c>
      <c r="R98" s="44">
        <f>175.01</f>
        <v>175.01</v>
      </c>
      <c r="S98" s="44">
        <f>250</f>
        <v>250</v>
      </c>
      <c r="T98" s="44">
        <f t="shared" si="63"/>
        <v>-74.990000000000009</v>
      </c>
      <c r="U98" s="45">
        <f t="shared" si="64"/>
        <v>0.70004</v>
      </c>
      <c r="V98" s="44">
        <f>167.45</f>
        <v>167.45</v>
      </c>
      <c r="W98" s="44">
        <f>250</f>
        <v>250</v>
      </c>
      <c r="X98" s="44">
        <f t="shared" si="65"/>
        <v>-82.550000000000011</v>
      </c>
      <c r="Y98" s="45">
        <f t="shared" si="66"/>
        <v>0.66979999999999995</v>
      </c>
      <c r="Z98" s="44">
        <f>178.79</f>
        <v>178.79</v>
      </c>
      <c r="AA98" s="44">
        <f>250</f>
        <v>250</v>
      </c>
      <c r="AB98" s="44">
        <f t="shared" si="67"/>
        <v>-71.210000000000008</v>
      </c>
      <c r="AC98" s="45">
        <f t="shared" si="68"/>
        <v>0.71516000000000002</v>
      </c>
      <c r="AD98" s="44">
        <f>190.13</f>
        <v>190.13</v>
      </c>
      <c r="AE98" s="44">
        <f>250</f>
        <v>250</v>
      </c>
      <c r="AF98" s="44">
        <f t="shared" si="69"/>
        <v>-59.870000000000005</v>
      </c>
      <c r="AG98" s="45">
        <f t="shared" si="70"/>
        <v>0.76051999999999997</v>
      </c>
      <c r="AH98" s="43"/>
      <c r="AI98" s="44">
        <f>250</f>
        <v>250</v>
      </c>
      <c r="AJ98" s="44">
        <f t="shared" si="71"/>
        <v>-250</v>
      </c>
      <c r="AK98" s="45">
        <f t="shared" si="72"/>
        <v>0</v>
      </c>
      <c r="AL98" s="43"/>
      <c r="AM98" s="44">
        <f>250</f>
        <v>250</v>
      </c>
      <c r="AN98" s="44">
        <f t="shared" si="73"/>
        <v>-250</v>
      </c>
      <c r="AO98" s="45">
        <f t="shared" si="74"/>
        <v>0</v>
      </c>
      <c r="AP98" s="43"/>
      <c r="AQ98" s="44">
        <f>250</f>
        <v>250</v>
      </c>
      <c r="AR98" s="44">
        <f t="shared" si="75"/>
        <v>-250</v>
      </c>
      <c r="AS98" s="45">
        <f t="shared" si="76"/>
        <v>0</v>
      </c>
      <c r="AT98" s="43"/>
      <c r="AU98" s="44">
        <f>250</f>
        <v>250</v>
      </c>
      <c r="AV98" s="44">
        <f t="shared" si="77"/>
        <v>-250</v>
      </c>
      <c r="AW98" s="45">
        <f t="shared" si="78"/>
        <v>0</v>
      </c>
      <c r="AX98" s="44">
        <f t="shared" si="79"/>
        <v>1294.9899999999998</v>
      </c>
      <c r="AY98" s="44">
        <f t="shared" si="79"/>
        <v>3000</v>
      </c>
      <c r="AZ98" s="44">
        <f t="shared" si="80"/>
        <v>-1705.0100000000002</v>
      </c>
      <c r="BA98" s="45">
        <f t="shared" si="81"/>
        <v>0.43166333333333329</v>
      </c>
    </row>
    <row r="99" spans="1:53" x14ac:dyDescent="0.3">
      <c r="A99" s="42" t="s">
        <v>208</v>
      </c>
      <c r="B99" s="46">
        <f>((((B94)+(B95))+(B96))+(B97))+(B98)</f>
        <v>753.77</v>
      </c>
      <c r="C99" s="46">
        <f>((((C94)+(C95))+(C96))+(C97))+(C98)</f>
        <v>2125.0100000000002</v>
      </c>
      <c r="D99" s="46">
        <f t="shared" si="55"/>
        <v>-1371.2400000000002</v>
      </c>
      <c r="E99" s="47">
        <f t="shared" si="56"/>
        <v>0.35471362487705937</v>
      </c>
      <c r="F99" s="46">
        <f>((((F94)+(F95))+(F96))+(F97))+(F98)</f>
        <v>1760.1499999999999</v>
      </c>
      <c r="G99" s="46">
        <f>((((G94)+(G95))+(G96))+(G97))+(G98)</f>
        <v>2125.0100000000002</v>
      </c>
      <c r="H99" s="46">
        <f t="shared" si="57"/>
        <v>-364.86000000000035</v>
      </c>
      <c r="I99" s="47">
        <f t="shared" si="58"/>
        <v>0.82830198446124947</v>
      </c>
      <c r="J99" s="46">
        <f>((((J94)+(J95))+(J96))+(J97))+(J98)</f>
        <v>1584.99</v>
      </c>
      <c r="K99" s="46">
        <f>((((K94)+(K95))+(K96))+(K97))+(K98)</f>
        <v>2125.0100000000002</v>
      </c>
      <c r="L99" s="46">
        <f t="shared" si="59"/>
        <v>-540.02000000000021</v>
      </c>
      <c r="M99" s="47">
        <f t="shared" si="60"/>
        <v>0.7458741370628843</v>
      </c>
      <c r="N99" s="46">
        <f>((((N94)+(N95))+(N96))+(N97))+(N98)</f>
        <v>1430.29</v>
      </c>
      <c r="O99" s="46">
        <f>((((O94)+(O95))+(O96))+(O97))+(O98)</f>
        <v>2125.0100000000002</v>
      </c>
      <c r="P99" s="46">
        <f t="shared" si="61"/>
        <v>-694.72000000000025</v>
      </c>
      <c r="Q99" s="47">
        <f t="shared" si="62"/>
        <v>0.6730744796495074</v>
      </c>
      <c r="R99" s="46">
        <f>((((R94)+(R95))+(R96))+(R97))+(R98)</f>
        <v>1380.52</v>
      </c>
      <c r="S99" s="46">
        <f>((((S94)+(S95))+(S96))+(S97))+(S98)</f>
        <v>2125.0100000000002</v>
      </c>
      <c r="T99" s="46">
        <f t="shared" si="63"/>
        <v>-744.49000000000024</v>
      </c>
      <c r="U99" s="47">
        <f t="shared" si="64"/>
        <v>0.6496534133957016</v>
      </c>
      <c r="V99" s="46">
        <f>((((V94)+(V95))+(V96))+(V97))+(V98)</f>
        <v>1397.8500000000001</v>
      </c>
      <c r="W99" s="46">
        <f>((((W94)+(W95))+(W96))+(W97))+(W98)</f>
        <v>2125.0100000000002</v>
      </c>
      <c r="X99" s="46">
        <f t="shared" si="65"/>
        <v>-727.16000000000008</v>
      </c>
      <c r="Y99" s="47">
        <f t="shared" si="66"/>
        <v>0.65780866913567471</v>
      </c>
      <c r="Z99" s="46">
        <f>((((Z94)+(Z95))+(Z96))+(Z97))+(Z98)</f>
        <v>1522.4299999999998</v>
      </c>
      <c r="AA99" s="46">
        <f>((((AA94)+(AA95))+(AA96))+(AA97))+(AA98)</f>
        <v>2125.0100000000002</v>
      </c>
      <c r="AB99" s="46">
        <f t="shared" si="67"/>
        <v>-602.58000000000038</v>
      </c>
      <c r="AC99" s="47">
        <f t="shared" si="68"/>
        <v>0.71643427560340878</v>
      </c>
      <c r="AD99" s="46">
        <f>((((AD94)+(AD95))+(AD96))+(AD97))+(AD98)</f>
        <v>1634.9899999999998</v>
      </c>
      <c r="AE99" s="46">
        <f>((((AE94)+(AE95))+(AE96))+(AE97))+(AE98)</f>
        <v>2125.0100000000002</v>
      </c>
      <c r="AF99" s="46">
        <f t="shared" si="69"/>
        <v>-490.02000000000044</v>
      </c>
      <c r="AG99" s="47">
        <f t="shared" si="70"/>
        <v>0.76940343810146761</v>
      </c>
      <c r="AH99" s="46">
        <f>((((AH94)+(AH95))+(AH96))+(AH97))+(AH98)</f>
        <v>0</v>
      </c>
      <c r="AI99" s="46">
        <f>((((AI94)+(AI95))+(AI96))+(AI97))+(AI98)</f>
        <v>2125.0100000000002</v>
      </c>
      <c r="AJ99" s="46">
        <f t="shared" si="71"/>
        <v>-2125.0100000000002</v>
      </c>
      <c r="AK99" s="47">
        <f t="shared" si="72"/>
        <v>0</v>
      </c>
      <c r="AL99" s="46">
        <f>((((AL94)+(AL95))+(AL96))+(AL97))+(AL98)</f>
        <v>0</v>
      </c>
      <c r="AM99" s="46">
        <f>((((AM94)+(AM95))+(AM96))+(AM97))+(AM98)</f>
        <v>2125.0100000000002</v>
      </c>
      <c r="AN99" s="46">
        <f t="shared" si="73"/>
        <v>-2125.0100000000002</v>
      </c>
      <c r="AO99" s="47">
        <f t="shared" si="74"/>
        <v>0</v>
      </c>
      <c r="AP99" s="46">
        <f>((((AP94)+(AP95))+(AP96))+(AP97))+(AP98)</f>
        <v>0</v>
      </c>
      <c r="AQ99" s="46">
        <f>((((AQ94)+(AQ95))+(AQ96))+(AQ97))+(AQ98)</f>
        <v>2125.0100000000002</v>
      </c>
      <c r="AR99" s="46">
        <f t="shared" si="75"/>
        <v>-2125.0100000000002</v>
      </c>
      <c r="AS99" s="47">
        <f t="shared" si="76"/>
        <v>0</v>
      </c>
      <c r="AT99" s="46">
        <f>((((AT94)+(AT95))+(AT96))+(AT97))+(AT98)</f>
        <v>0</v>
      </c>
      <c r="AU99" s="46">
        <f>((((AU94)+(AU95))+(AU96))+(AU97))+(AU98)</f>
        <v>2124.8900000000003</v>
      </c>
      <c r="AV99" s="46">
        <f t="shared" si="77"/>
        <v>-2124.8900000000003</v>
      </c>
      <c r="AW99" s="47">
        <f t="shared" si="78"/>
        <v>0</v>
      </c>
      <c r="AX99" s="46">
        <f t="shared" si="79"/>
        <v>11464.99</v>
      </c>
      <c r="AY99" s="46">
        <f t="shared" si="79"/>
        <v>25500.000000000007</v>
      </c>
      <c r="AZ99" s="46">
        <f t="shared" si="80"/>
        <v>-14035.010000000007</v>
      </c>
      <c r="BA99" s="47">
        <f t="shared" si="81"/>
        <v>0.44960745098039201</v>
      </c>
    </row>
    <row r="100" spans="1:53" x14ac:dyDescent="0.3">
      <c r="A100" s="42" t="s">
        <v>209</v>
      </c>
      <c r="B100" s="46">
        <f>(((((((((((((((((((((((B25)+(B29))+(B30))+(B31))+(B32))+(B33))+(B34))+(B52))+(B53))+(B54))+(B59))+(B60))+(B61))+(B62))+(B71))+(B72))+(B73))+(B74))+(B78))+(B79))+(B85))+(B86))+(B93))+(B99)</f>
        <v>75825.600000000006</v>
      </c>
      <c r="C100" s="46">
        <f>(((((((((((((((((((((((C25)+(C29))+(C30))+(C31))+(C32))+(C33))+(C34))+(C52))+(C53))+(C54))+(C59))+(C60))+(C61))+(C62))+(C71))+(C72))+(C73))+(C74))+(C78))+(C79))+(C85))+(C86))+(C93))+(C99)</f>
        <v>82633.359999999986</v>
      </c>
      <c r="D100" s="46">
        <f t="shared" si="55"/>
        <v>-6807.7599999999802</v>
      </c>
      <c r="E100" s="47">
        <f t="shared" si="56"/>
        <v>0.91761487128201025</v>
      </c>
      <c r="F100" s="46">
        <f>(((((((((((((((((((((((F25)+(F29))+(F30))+(F31))+(F32))+(F33))+(F34))+(F52))+(F53))+(F54))+(F59))+(F60))+(F61))+(F62))+(F71))+(F72))+(F73))+(F74))+(F78))+(F79))+(F85))+(F86))+(F93))+(F99)</f>
        <v>60937.380000000005</v>
      </c>
      <c r="G100" s="46">
        <f>(((((((((((((((((((((((G25)+(G29))+(G30))+(G31))+(G32))+(G33))+(G34))+(G52))+(G53))+(G54))+(G59))+(G60))+(G61))+(G62))+(G71))+(G72))+(G73))+(G74))+(G78))+(G79))+(G85))+(G86))+(G93))+(G99)</f>
        <v>82633.359999999986</v>
      </c>
      <c r="H100" s="46">
        <f t="shared" si="57"/>
        <v>-21695.979999999981</v>
      </c>
      <c r="I100" s="47">
        <f t="shared" si="58"/>
        <v>0.7374428439071099</v>
      </c>
      <c r="J100" s="46">
        <f>(((((((((((((((((((((((J25)+(J29))+(J30))+(J31))+(J32))+(J33))+(J34))+(J52))+(J53))+(J54))+(J59))+(J60))+(J61))+(J62))+(J71))+(J72))+(J73))+(J74))+(J78))+(J79))+(J85))+(J86))+(J93))+(J99)</f>
        <v>69801.84</v>
      </c>
      <c r="K100" s="46">
        <f>(((((((((((((((((((((((K25)+(K29))+(K30))+(K31))+(K32))+(K33))+(K34))+(K52))+(K53))+(K54))+(K59))+(K60))+(K61))+(K62))+(K71))+(K72))+(K73))+(K74))+(K78))+(K79))+(K85))+(K86))+(K93))+(K99)</f>
        <v>82633.359999999986</v>
      </c>
      <c r="L100" s="46">
        <f t="shared" si="59"/>
        <v>-12831.51999999999</v>
      </c>
      <c r="M100" s="47">
        <f t="shared" si="60"/>
        <v>0.8447174361541151</v>
      </c>
      <c r="N100" s="46">
        <f>(((((((((((((((((((((((N25)+(N29))+(N30))+(N31))+(N32))+(N33))+(N34))+(N52))+(N53))+(N54))+(N59))+(N60))+(N61))+(N62))+(N71))+(N72))+(N73))+(N74))+(N78))+(N79))+(N85))+(N86))+(N93))+(N99)</f>
        <v>69839.809999999983</v>
      </c>
      <c r="O100" s="46">
        <f>(((((((((((((((((((((((O25)+(O29))+(O30))+(O31))+(O32))+(O33))+(O34))+(O52))+(O53))+(O54))+(O59))+(O60))+(O61))+(O62))+(O71))+(O72))+(O73))+(O74))+(O78))+(O79))+(O85))+(O86))+(O93))+(O99)</f>
        <v>82633.359999999986</v>
      </c>
      <c r="P100" s="46">
        <f t="shared" si="61"/>
        <v>-12793.550000000003</v>
      </c>
      <c r="Q100" s="47">
        <f t="shared" si="62"/>
        <v>0.84517693580413522</v>
      </c>
      <c r="R100" s="46">
        <f>(((((((((((((((((((((((R25)+(R29))+(R30))+(R31))+(R32))+(R33))+(R34))+(R52))+(R53))+(R54))+(R59))+(R60))+(R61))+(R62))+(R71))+(R72))+(R73))+(R74))+(R78))+(R79))+(R85))+(R86))+(R93))+(R99)</f>
        <v>63377.869999999995</v>
      </c>
      <c r="S100" s="46">
        <f>(((((((((((((((((((((((S25)+(S29))+(S30))+(S31))+(S32))+(S33))+(S34))+(S52))+(S53))+(S54))+(S59))+(S60))+(S61))+(S62))+(S71))+(S72))+(S73))+(S74))+(S78))+(S79))+(S85))+(S86))+(S93))+(S99)</f>
        <v>82633.359999999986</v>
      </c>
      <c r="T100" s="46">
        <f t="shared" si="63"/>
        <v>-19255.489999999991</v>
      </c>
      <c r="U100" s="47">
        <f t="shared" si="64"/>
        <v>0.76697679968477628</v>
      </c>
      <c r="V100" s="46">
        <f>(((((((((((((((((((((((V25)+(V29))+(V30))+(V31))+(V32))+(V33))+(V34))+(V52))+(V53))+(V54))+(V59))+(V60))+(V61))+(V62))+(V71))+(V72))+(V73))+(V74))+(V78))+(V79))+(V85))+(V86))+(V93))+(V99)</f>
        <v>74976.660000000018</v>
      </c>
      <c r="W100" s="46">
        <f>(((((((((((((((((((((((W25)+(W29))+(W30))+(W31))+(W32))+(W33))+(W34))+(W52))+(W53))+(W54))+(W59))+(W60))+(W61))+(W62))+(W71))+(W72))+(W73))+(W74))+(W78))+(W79))+(W85))+(W86))+(W93))+(W99)</f>
        <v>82633.359999999986</v>
      </c>
      <c r="X100" s="46">
        <f t="shared" si="65"/>
        <v>-7656.699999999968</v>
      </c>
      <c r="Y100" s="47">
        <f t="shared" si="66"/>
        <v>0.90734129654173601</v>
      </c>
      <c r="Z100" s="46">
        <f>(((((((((((((((((((((((Z25)+(Z29))+(Z30))+(Z31))+(Z32))+(Z33))+(Z34))+(Z52))+(Z53))+(Z54))+(Z59))+(Z60))+(Z61))+(Z62))+(Z71))+(Z72))+(Z73))+(Z74))+(Z78))+(Z79))+(Z85))+(Z86))+(Z93))+(Z99)</f>
        <v>76055.759999999995</v>
      </c>
      <c r="AA100" s="46">
        <f>(((((((((((((((((((((((AA25)+(AA29))+(AA30))+(AA31))+(AA32))+(AA33))+(AA34))+(AA52))+(AA53))+(AA54))+(AA59))+(AA60))+(AA61))+(AA62))+(AA71))+(AA72))+(AA73))+(AA74))+(AA78))+(AA79))+(AA85))+(AA86))+(AA93))+(AA99)</f>
        <v>82633.359999999986</v>
      </c>
      <c r="AB100" s="46">
        <f t="shared" si="67"/>
        <v>-6577.5999999999913</v>
      </c>
      <c r="AC100" s="47">
        <f t="shared" si="68"/>
        <v>0.92040018704310234</v>
      </c>
      <c r="AD100" s="46">
        <f>(((((((((((((((((((((((AD25)+(AD29))+(AD30))+(AD31))+(AD32))+(AD33))+(AD34))+(AD52))+(AD53))+(AD54))+(AD59))+(AD60))+(AD61))+(AD62))+(AD71))+(AD72))+(AD73))+(AD74))+(AD78))+(AD79))+(AD85))+(AD86))+(AD93))+(AD99)</f>
        <v>141873.57999999999</v>
      </c>
      <c r="AE100" s="46">
        <f>(((((((((((((((((((((((AE25)+(AE29))+(AE30))+(AE31))+(AE32))+(AE33))+(AE34))+(AE52))+(AE53))+(AE54))+(AE59))+(AE60))+(AE61))+(AE62))+(AE71))+(AE72))+(AE73))+(AE74))+(AE78))+(AE79))+(AE85))+(AE86))+(AE93))+(AE99)</f>
        <v>82633.359999999986</v>
      </c>
      <c r="AF100" s="46">
        <f t="shared" si="69"/>
        <v>59240.22</v>
      </c>
      <c r="AG100" s="47">
        <f t="shared" si="70"/>
        <v>1.7169044076145519</v>
      </c>
      <c r="AH100" s="46">
        <f>(((((((((((((((((((((((AH25)+(AH29))+(AH30))+(AH31))+(AH32))+(AH33))+(AH34))+(AH52))+(AH53))+(AH54))+(AH59))+(AH60))+(AH61))+(AH62))+(AH71))+(AH72))+(AH73))+(AH74))+(AH78))+(AH79))+(AH85))+(AH86))+(AH93))+(AH99)</f>
        <v>17267.32</v>
      </c>
      <c r="AI100" s="46">
        <f>(((((((((((((((((((((((AI25)+(AI29))+(AI30))+(AI31))+(AI32))+(AI33))+(AI34))+(AI52))+(AI53))+(AI54))+(AI59))+(AI60))+(AI61))+(AI62))+(AI71))+(AI72))+(AI73))+(AI74))+(AI78))+(AI79))+(AI85))+(AI86))+(AI93))+(AI99)</f>
        <v>82633.359999999986</v>
      </c>
      <c r="AJ100" s="46">
        <f t="shared" si="71"/>
        <v>-65366.039999999986</v>
      </c>
      <c r="AK100" s="47">
        <f t="shared" si="72"/>
        <v>0.20896306285984259</v>
      </c>
      <c r="AL100" s="46">
        <f>(((((((((((((((((((((((AL25)+(AL29))+(AL30))+(AL31))+(AL32))+(AL33))+(AL34))+(AL52))+(AL53))+(AL54))+(AL59))+(AL60))+(AL61))+(AL62))+(AL71))+(AL72))+(AL73))+(AL74))+(AL78))+(AL79))+(AL85))+(AL86))+(AL93))+(AL99)</f>
        <v>0</v>
      </c>
      <c r="AM100" s="46">
        <f>(((((((((((((((((((((((AM25)+(AM29))+(AM30))+(AM31))+(AM32))+(AM33))+(AM34))+(AM52))+(AM53))+(AM54))+(AM59))+(AM60))+(AM61))+(AM62))+(AM71))+(AM72))+(AM73))+(AM74))+(AM78))+(AM79))+(AM85))+(AM86))+(AM93))+(AM99)</f>
        <v>82633.359999999986</v>
      </c>
      <c r="AN100" s="46">
        <f t="shared" si="73"/>
        <v>-82633.359999999986</v>
      </c>
      <c r="AO100" s="47">
        <f t="shared" si="74"/>
        <v>0</v>
      </c>
      <c r="AP100" s="46">
        <f>(((((((((((((((((((((((AP25)+(AP29))+(AP30))+(AP31))+(AP32))+(AP33))+(AP34))+(AP52))+(AP53))+(AP54))+(AP59))+(AP60))+(AP61))+(AP62))+(AP71))+(AP72))+(AP73))+(AP74))+(AP78))+(AP79))+(AP85))+(AP86))+(AP93))+(AP99)</f>
        <v>0</v>
      </c>
      <c r="AQ100" s="46">
        <f>(((((((((((((((((((((((AQ25)+(AQ29))+(AQ30))+(AQ31))+(AQ32))+(AQ33))+(AQ34))+(AQ52))+(AQ53))+(AQ54))+(AQ59))+(AQ60))+(AQ61))+(AQ62))+(AQ71))+(AQ72))+(AQ73))+(AQ74))+(AQ78))+(AQ79))+(AQ85))+(AQ86))+(AQ93))+(AQ99)</f>
        <v>82633.359999999986</v>
      </c>
      <c r="AR100" s="46">
        <f t="shared" si="75"/>
        <v>-82633.359999999986</v>
      </c>
      <c r="AS100" s="47">
        <f t="shared" si="76"/>
        <v>0</v>
      </c>
      <c r="AT100" s="46">
        <f>(((((((((((((((((((((((AT25)+(AT29))+(AT30))+(AT31))+(AT32))+(AT33))+(AT34))+(AT52))+(AT53))+(AT54))+(AT59))+(AT60))+(AT61))+(AT62))+(AT71))+(AT72))+(AT73))+(AT74))+(AT78))+(AT79))+(AT85))+(AT86))+(AT93))+(AT99)</f>
        <v>0</v>
      </c>
      <c r="AU100" s="46">
        <f>(((((((((((((((((((((((AU25)+(AU29))+(AU30))+(AU31))+(AU32))+(AU33))+(AU34))+(AU52))+(AU53))+(AU54))+(AU59))+(AU60))+(AU61))+(AU62))+(AU71))+(AU72))+(AU73))+(AU74))+(AU78))+(AU79))+(AU85))+(AU86))+(AU93))+(AU99)</f>
        <v>82633.039999999979</v>
      </c>
      <c r="AV100" s="46">
        <f t="shared" si="77"/>
        <v>-82633.039999999979</v>
      </c>
      <c r="AW100" s="47">
        <f t="shared" si="78"/>
        <v>0</v>
      </c>
      <c r="AX100" s="46">
        <f t="shared" si="79"/>
        <v>649955.81999999995</v>
      </c>
      <c r="AY100" s="46">
        <f t="shared" si="79"/>
        <v>991599.99999999977</v>
      </c>
      <c r="AZ100" s="46">
        <f t="shared" si="80"/>
        <v>-341644.17999999982</v>
      </c>
      <c r="BA100" s="47">
        <f t="shared" si="81"/>
        <v>0.65546169826542966</v>
      </c>
    </row>
    <row r="101" spans="1:53" x14ac:dyDescent="0.3">
      <c r="A101" s="42" t="s">
        <v>210</v>
      </c>
      <c r="B101" s="46">
        <f>(B18)-(B100)</f>
        <v>-60949.33</v>
      </c>
      <c r="C101" s="46">
        <f>(C18)-(C100)</f>
        <v>7449.4800000000105</v>
      </c>
      <c r="D101" s="46">
        <f t="shared" si="55"/>
        <v>-68398.810000000012</v>
      </c>
      <c r="E101" s="47">
        <f t="shared" si="56"/>
        <v>-8.1816891917288075</v>
      </c>
      <c r="F101" s="46">
        <f>(F18)-(F100)</f>
        <v>303488.64999999997</v>
      </c>
      <c r="G101" s="46">
        <f>(G18)-(G100)</f>
        <v>7449.4800000000105</v>
      </c>
      <c r="H101" s="46">
        <f t="shared" si="57"/>
        <v>296039.16999999993</v>
      </c>
      <c r="I101" s="47">
        <f t="shared" si="58"/>
        <v>40.739575111282875</v>
      </c>
      <c r="J101" s="46">
        <f>(J18)-(J100)</f>
        <v>8803.4500000000116</v>
      </c>
      <c r="K101" s="46">
        <f>(K18)-(K100)</f>
        <v>7449.4800000000105</v>
      </c>
      <c r="L101" s="46">
        <f t="shared" si="59"/>
        <v>1353.9700000000012</v>
      </c>
      <c r="M101" s="47">
        <f t="shared" si="60"/>
        <v>1.1817536257564285</v>
      </c>
      <c r="N101" s="46">
        <f>(N18)-(N100)</f>
        <v>143846.39000000001</v>
      </c>
      <c r="O101" s="46">
        <f>(O18)-(O100)</f>
        <v>7449.4800000000105</v>
      </c>
      <c r="P101" s="46">
        <f t="shared" si="61"/>
        <v>136396.91</v>
      </c>
      <c r="Q101" s="47">
        <f t="shared" si="62"/>
        <v>19.309588051783454</v>
      </c>
      <c r="R101" s="46">
        <f>(R18)-(R100)</f>
        <v>12657.950000000012</v>
      </c>
      <c r="S101" s="46">
        <f>(S18)-(S100)</f>
        <v>7449.4800000000105</v>
      </c>
      <c r="T101" s="46">
        <f t="shared" si="63"/>
        <v>5208.4700000000012</v>
      </c>
      <c r="U101" s="47">
        <f t="shared" si="64"/>
        <v>1.699172291220326</v>
      </c>
      <c r="V101" s="46">
        <f>(V18)-(V100)</f>
        <v>221412.28999999998</v>
      </c>
      <c r="W101" s="46">
        <f>(W18)-(W100)</f>
        <v>7449.4800000000105</v>
      </c>
      <c r="X101" s="46">
        <f t="shared" si="65"/>
        <v>213962.80999999997</v>
      </c>
      <c r="Y101" s="47">
        <f t="shared" si="66"/>
        <v>29.721845014685545</v>
      </c>
      <c r="Z101" s="46">
        <f>(Z18)-(Z100)</f>
        <v>-52186.2</v>
      </c>
      <c r="AA101" s="46">
        <f>(AA18)-(AA100)</f>
        <v>7449.4800000000105</v>
      </c>
      <c r="AB101" s="46">
        <f t="shared" si="67"/>
        <v>-59635.680000000008</v>
      </c>
      <c r="AC101" s="47">
        <f t="shared" si="68"/>
        <v>-7.0053480242916182</v>
      </c>
      <c r="AD101" s="46">
        <f>(AD18)-(AD100)</f>
        <v>-124759.85999999999</v>
      </c>
      <c r="AE101" s="46">
        <f>(AE18)-(AE100)</f>
        <v>7449.4800000000105</v>
      </c>
      <c r="AF101" s="46">
        <f t="shared" si="69"/>
        <v>-132209.34</v>
      </c>
      <c r="AG101" s="47">
        <f t="shared" si="70"/>
        <v>-16.747458883036106</v>
      </c>
      <c r="AH101" s="46">
        <f>(AH18)-(AH100)</f>
        <v>-17267.32</v>
      </c>
      <c r="AI101" s="46">
        <f>(AI18)-(AI100)</f>
        <v>7449.4800000000105</v>
      </c>
      <c r="AJ101" s="46">
        <f t="shared" si="71"/>
        <v>-24716.80000000001</v>
      </c>
      <c r="AK101" s="47">
        <f t="shared" si="72"/>
        <v>-2.3179228617299428</v>
      </c>
      <c r="AL101" s="46">
        <f>(AL18)-(AL100)</f>
        <v>0</v>
      </c>
      <c r="AM101" s="46">
        <f>(AM18)-(AM100)</f>
        <v>7449.4800000000105</v>
      </c>
      <c r="AN101" s="46">
        <f t="shared" si="73"/>
        <v>-7449.4800000000105</v>
      </c>
      <c r="AO101" s="47">
        <f t="shared" si="74"/>
        <v>0</v>
      </c>
      <c r="AP101" s="46">
        <f>(AP18)-(AP100)</f>
        <v>0</v>
      </c>
      <c r="AQ101" s="46">
        <f>(AQ18)-(AQ100)</f>
        <v>7449.4800000000105</v>
      </c>
      <c r="AR101" s="46">
        <f t="shared" si="75"/>
        <v>-7449.4800000000105</v>
      </c>
      <c r="AS101" s="47">
        <f t="shared" si="76"/>
        <v>0</v>
      </c>
      <c r="AT101" s="46">
        <f>(AT18)-(AT100)</f>
        <v>0</v>
      </c>
      <c r="AU101" s="46">
        <f>(AU18)-(AU100)</f>
        <v>7449.7200000000157</v>
      </c>
      <c r="AV101" s="46">
        <f t="shared" si="77"/>
        <v>-7449.7200000000157</v>
      </c>
      <c r="AW101" s="47">
        <f t="shared" si="78"/>
        <v>0</v>
      </c>
      <c r="AX101" s="46">
        <f t="shared" si="79"/>
        <v>435046.01999999996</v>
      </c>
      <c r="AY101" s="46">
        <f t="shared" si="79"/>
        <v>89394.000000000131</v>
      </c>
      <c r="AZ101" s="46">
        <f t="shared" si="80"/>
        <v>345652.01999999984</v>
      </c>
      <c r="BA101" s="47">
        <f t="shared" si="81"/>
        <v>4.8666131955164698</v>
      </c>
    </row>
    <row r="102" spans="1:53" x14ac:dyDescent="0.3">
      <c r="A102" s="42" t="s">
        <v>96</v>
      </c>
      <c r="B102" s="46">
        <f>(B101)+(0)</f>
        <v>-60949.33</v>
      </c>
      <c r="C102" s="46">
        <f>(C101)+(0)</f>
        <v>7449.4800000000105</v>
      </c>
      <c r="D102" s="46">
        <f t="shared" si="55"/>
        <v>-68398.810000000012</v>
      </c>
      <c r="E102" s="47">
        <f t="shared" si="56"/>
        <v>-8.1816891917288075</v>
      </c>
      <c r="F102" s="46">
        <f>(F101)+(0)</f>
        <v>303488.64999999997</v>
      </c>
      <c r="G102" s="46">
        <f>(G101)+(0)</f>
        <v>7449.4800000000105</v>
      </c>
      <c r="H102" s="46">
        <f t="shared" si="57"/>
        <v>296039.16999999993</v>
      </c>
      <c r="I102" s="47">
        <f t="shared" si="58"/>
        <v>40.739575111282875</v>
      </c>
      <c r="J102" s="46">
        <f>(J101)+(0)</f>
        <v>8803.4500000000116</v>
      </c>
      <c r="K102" s="46">
        <f>(K101)+(0)</f>
        <v>7449.4800000000105</v>
      </c>
      <c r="L102" s="46">
        <f t="shared" si="59"/>
        <v>1353.9700000000012</v>
      </c>
      <c r="M102" s="47">
        <f t="shared" si="60"/>
        <v>1.1817536257564285</v>
      </c>
      <c r="N102" s="46">
        <f>(N101)+(0)</f>
        <v>143846.39000000001</v>
      </c>
      <c r="O102" s="46">
        <f>(O101)+(0)</f>
        <v>7449.4800000000105</v>
      </c>
      <c r="P102" s="46">
        <f t="shared" si="61"/>
        <v>136396.91</v>
      </c>
      <c r="Q102" s="47">
        <f t="shared" si="62"/>
        <v>19.309588051783454</v>
      </c>
      <c r="R102" s="46">
        <f>(R101)+(0)</f>
        <v>12657.950000000012</v>
      </c>
      <c r="S102" s="46">
        <f>(S101)+(0)</f>
        <v>7449.4800000000105</v>
      </c>
      <c r="T102" s="46">
        <f t="shared" si="63"/>
        <v>5208.4700000000012</v>
      </c>
      <c r="U102" s="47">
        <f t="shared" si="64"/>
        <v>1.699172291220326</v>
      </c>
      <c r="V102" s="46">
        <f>(V101)+(0)</f>
        <v>221412.28999999998</v>
      </c>
      <c r="W102" s="46">
        <f>(W101)+(0)</f>
        <v>7449.4800000000105</v>
      </c>
      <c r="X102" s="46">
        <f t="shared" si="65"/>
        <v>213962.80999999997</v>
      </c>
      <c r="Y102" s="47">
        <f t="shared" si="66"/>
        <v>29.721845014685545</v>
      </c>
      <c r="Z102" s="46">
        <f>(Z101)+(0)</f>
        <v>-52186.2</v>
      </c>
      <c r="AA102" s="46">
        <f>(AA101)+(0)</f>
        <v>7449.4800000000105</v>
      </c>
      <c r="AB102" s="46">
        <f t="shared" si="67"/>
        <v>-59635.680000000008</v>
      </c>
      <c r="AC102" s="47">
        <f t="shared" si="68"/>
        <v>-7.0053480242916182</v>
      </c>
      <c r="AD102" s="46">
        <f>(AD101)+(0)</f>
        <v>-124759.85999999999</v>
      </c>
      <c r="AE102" s="46">
        <f>(AE101)+(0)</f>
        <v>7449.4800000000105</v>
      </c>
      <c r="AF102" s="46">
        <f t="shared" si="69"/>
        <v>-132209.34</v>
      </c>
      <c r="AG102" s="47">
        <f t="shared" si="70"/>
        <v>-16.747458883036106</v>
      </c>
      <c r="AH102" s="46">
        <f>(AH101)+(0)</f>
        <v>-17267.32</v>
      </c>
      <c r="AI102" s="46">
        <f>(AI101)+(0)</f>
        <v>7449.4800000000105</v>
      </c>
      <c r="AJ102" s="46">
        <f t="shared" si="71"/>
        <v>-24716.80000000001</v>
      </c>
      <c r="AK102" s="47">
        <f t="shared" si="72"/>
        <v>-2.3179228617299428</v>
      </c>
      <c r="AL102" s="46">
        <f>(AL101)+(0)</f>
        <v>0</v>
      </c>
      <c r="AM102" s="46">
        <f>(AM101)+(0)</f>
        <v>7449.4800000000105</v>
      </c>
      <c r="AN102" s="46">
        <f t="shared" si="73"/>
        <v>-7449.4800000000105</v>
      </c>
      <c r="AO102" s="47">
        <f t="shared" si="74"/>
        <v>0</v>
      </c>
      <c r="AP102" s="46">
        <f>(AP101)+(0)</f>
        <v>0</v>
      </c>
      <c r="AQ102" s="46">
        <f>(AQ101)+(0)</f>
        <v>7449.4800000000105</v>
      </c>
      <c r="AR102" s="46">
        <f t="shared" si="75"/>
        <v>-7449.4800000000105</v>
      </c>
      <c r="AS102" s="47">
        <f t="shared" si="76"/>
        <v>0</v>
      </c>
      <c r="AT102" s="46">
        <f>(AT101)+(0)</f>
        <v>0</v>
      </c>
      <c r="AU102" s="46">
        <f>(AU101)+(0)</f>
        <v>7449.7200000000157</v>
      </c>
      <c r="AV102" s="46">
        <f t="shared" si="77"/>
        <v>-7449.7200000000157</v>
      </c>
      <c r="AW102" s="47">
        <f t="shared" si="78"/>
        <v>0</v>
      </c>
      <c r="AX102" s="46">
        <f t="shared" si="79"/>
        <v>435046.01999999996</v>
      </c>
      <c r="AY102" s="46">
        <f t="shared" si="79"/>
        <v>89394.000000000131</v>
      </c>
      <c r="AZ102" s="46">
        <f t="shared" si="80"/>
        <v>345652.01999999984</v>
      </c>
      <c r="BA102" s="47">
        <f t="shared" si="81"/>
        <v>4.8666131955164698</v>
      </c>
    </row>
    <row r="103" spans="1:53" x14ac:dyDescent="0.3">
      <c r="A103" s="42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</row>
    <row r="106" spans="1:53" x14ac:dyDescent="0.3">
      <c r="A106" s="48" t="s">
        <v>211</v>
      </c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</row>
  </sheetData>
  <mergeCells count="17">
    <mergeCell ref="A106:BA106"/>
    <mergeCell ref="AD5:AG5"/>
    <mergeCell ref="AH5:AK5"/>
    <mergeCell ref="AL5:AO5"/>
    <mergeCell ref="AP5:AS5"/>
    <mergeCell ref="AT5:AW5"/>
    <mergeCell ref="AX5:BA5"/>
    <mergeCell ref="A1:BA1"/>
    <mergeCell ref="A2:BA2"/>
    <mergeCell ref="A3:BA3"/>
    <mergeCell ref="B5:E5"/>
    <mergeCell ref="F5:I5"/>
    <mergeCell ref="J5:M5"/>
    <mergeCell ref="N5:Q5"/>
    <mergeCell ref="R5:U5"/>
    <mergeCell ref="V5:Y5"/>
    <mergeCell ref="Z5:AC5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32F4D-1DC8-4638-94F0-0F762E262307}">
  <dimension ref="A1:B33"/>
  <sheetViews>
    <sheetView workbookViewId="0">
      <selection sqref="A1:B1"/>
    </sheetView>
  </sheetViews>
  <sheetFormatPr defaultColWidth="12.44140625" defaultRowHeight="15.6" x14ac:dyDescent="0.3"/>
  <cols>
    <col min="1" max="1" width="32.21875" style="19" customWidth="1"/>
    <col min="2" max="2" width="9.33203125" style="19" customWidth="1"/>
    <col min="3" max="16384" width="12.44140625" style="14"/>
  </cols>
  <sheetData>
    <row r="1" spans="1:2" x14ac:dyDescent="0.3">
      <c r="A1" s="12" t="s">
        <v>33</v>
      </c>
      <c r="B1" s="13"/>
    </row>
    <row r="2" spans="1:2" x14ac:dyDescent="0.3">
      <c r="A2" s="15" t="s">
        <v>212</v>
      </c>
      <c r="B2" s="13"/>
    </row>
    <row r="3" spans="1:2" x14ac:dyDescent="0.3">
      <c r="A3" s="16" t="s">
        <v>213</v>
      </c>
      <c r="B3" s="13"/>
    </row>
    <row r="5" spans="1:2" x14ac:dyDescent="0.3">
      <c r="A5" s="17" t="s">
        <v>36</v>
      </c>
      <c r="B5" s="17" t="s">
        <v>37</v>
      </c>
    </row>
    <row r="6" spans="1:2" x14ac:dyDescent="0.3">
      <c r="A6" s="18" t="s">
        <v>214</v>
      </c>
      <c r="B6" s="23">
        <v>309</v>
      </c>
    </row>
    <row r="7" spans="1:2" x14ac:dyDescent="0.3">
      <c r="A7" s="18" t="s">
        <v>215</v>
      </c>
      <c r="B7" s="23">
        <v>522.02</v>
      </c>
    </row>
    <row r="8" spans="1:2" x14ac:dyDescent="0.3">
      <c r="A8" s="18" t="s">
        <v>216</v>
      </c>
      <c r="B8" s="23">
        <v>317.06</v>
      </c>
    </row>
    <row r="9" spans="1:2" x14ac:dyDescent="0.3">
      <c r="A9" s="18" t="s">
        <v>217</v>
      </c>
      <c r="B9" s="23">
        <v>639.16999999999996</v>
      </c>
    </row>
    <row r="10" spans="1:2" x14ac:dyDescent="0.3">
      <c r="A10" s="18" t="s">
        <v>218</v>
      </c>
      <c r="B10" s="23">
        <v>51.54</v>
      </c>
    </row>
    <row r="11" spans="1:2" x14ac:dyDescent="0.3">
      <c r="A11" s="18" t="s">
        <v>219</v>
      </c>
      <c r="B11" s="23">
        <v>1229.8800000000001</v>
      </c>
    </row>
    <row r="12" spans="1:2" x14ac:dyDescent="0.3">
      <c r="A12" s="18" t="s">
        <v>220</v>
      </c>
      <c r="B12" s="23">
        <v>91000</v>
      </c>
    </row>
    <row r="13" spans="1:2" x14ac:dyDescent="0.3">
      <c r="A13" s="18" t="s">
        <v>221</v>
      </c>
      <c r="B13" s="23">
        <v>474.59</v>
      </c>
    </row>
    <row r="14" spans="1:2" x14ac:dyDescent="0.3">
      <c r="A14" s="18" t="s">
        <v>222</v>
      </c>
      <c r="B14" s="23">
        <v>215</v>
      </c>
    </row>
    <row r="15" spans="1:2" x14ac:dyDescent="0.3">
      <c r="A15" s="18" t="s">
        <v>223</v>
      </c>
      <c r="B15" s="23">
        <v>203.12</v>
      </c>
    </row>
    <row r="16" spans="1:2" x14ac:dyDescent="0.3">
      <c r="A16" s="18" t="s">
        <v>224</v>
      </c>
      <c r="B16" s="23">
        <v>198</v>
      </c>
    </row>
    <row r="17" spans="1:2" x14ac:dyDescent="0.3">
      <c r="A17" s="18" t="s">
        <v>225</v>
      </c>
      <c r="B17" s="23">
        <v>12.56</v>
      </c>
    </row>
    <row r="18" spans="1:2" x14ac:dyDescent="0.3">
      <c r="A18" s="18" t="s">
        <v>226</v>
      </c>
      <c r="B18" s="23">
        <v>3269.97</v>
      </c>
    </row>
    <row r="19" spans="1:2" x14ac:dyDescent="0.3">
      <c r="A19" s="18" t="s">
        <v>227</v>
      </c>
      <c r="B19" s="23">
        <v>148.22999999999999</v>
      </c>
    </row>
    <row r="20" spans="1:2" x14ac:dyDescent="0.3">
      <c r="A20" s="18" t="s">
        <v>228</v>
      </c>
      <c r="B20" s="23">
        <v>762.29</v>
      </c>
    </row>
    <row r="21" spans="1:2" x14ac:dyDescent="0.3">
      <c r="A21" s="18" t="s">
        <v>229</v>
      </c>
      <c r="B21" s="23">
        <v>904.51</v>
      </c>
    </row>
    <row r="22" spans="1:2" x14ac:dyDescent="0.3">
      <c r="A22" s="18" t="s">
        <v>230</v>
      </c>
      <c r="B22" s="23">
        <v>4020.6</v>
      </c>
    </row>
    <row r="23" spans="1:2" x14ac:dyDescent="0.3">
      <c r="A23" s="18" t="s">
        <v>231</v>
      </c>
      <c r="B23" s="23">
        <v>352.64</v>
      </c>
    </row>
    <row r="24" spans="1:2" x14ac:dyDescent="0.3">
      <c r="A24" s="18" t="s">
        <v>232</v>
      </c>
      <c r="B24" s="23">
        <v>1460.95</v>
      </c>
    </row>
    <row r="25" spans="1:2" x14ac:dyDescent="0.3">
      <c r="A25" s="18" t="s">
        <v>233</v>
      </c>
      <c r="B25" s="23">
        <v>190.13</v>
      </c>
    </row>
    <row r="26" spans="1:2" x14ac:dyDescent="0.3">
      <c r="A26" s="18" t="s">
        <v>234</v>
      </c>
      <c r="B26" s="23">
        <v>45</v>
      </c>
    </row>
    <row r="27" spans="1:2" x14ac:dyDescent="0.3">
      <c r="A27" s="18" t="s">
        <v>235</v>
      </c>
      <c r="B27" s="23">
        <v>925.27</v>
      </c>
    </row>
    <row r="28" spans="1:2" x14ac:dyDescent="0.3">
      <c r="A28" s="18" t="s">
        <v>236</v>
      </c>
      <c r="B28" s="23">
        <v>34622.050000000003</v>
      </c>
    </row>
    <row r="29" spans="1:2" x14ac:dyDescent="0.3">
      <c r="A29" s="49" t="s">
        <v>237</v>
      </c>
      <c r="B29" s="26">
        <f>B6+B7+B8+B9+B10+B11+B12+B13+B14+B15+B16+B17+B18+B19+B20+B21+B22+B23+B24+B25+B26+B27+B28</f>
        <v>141873.57999999999</v>
      </c>
    </row>
    <row r="33" spans="1:2" x14ac:dyDescent="0.3">
      <c r="A33" s="33" t="s">
        <v>99</v>
      </c>
      <c r="B33" s="13"/>
    </row>
  </sheetData>
  <mergeCells count="4">
    <mergeCell ref="A1:B1"/>
    <mergeCell ref="A2:B2"/>
    <mergeCell ref="A3:B3"/>
    <mergeCell ref="A33:B3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F2785-7AD6-4E2E-981F-AC88A46F9C2C}">
  <dimension ref="A1:D6"/>
  <sheetViews>
    <sheetView workbookViewId="0">
      <selection activeCell="B7" sqref="B7"/>
    </sheetView>
  </sheetViews>
  <sheetFormatPr defaultRowHeight="14.4" x14ac:dyDescent="0.3"/>
  <cols>
    <col min="1" max="1" width="13.6640625" customWidth="1"/>
    <col min="2" max="2" width="34.21875" customWidth="1"/>
  </cols>
  <sheetData>
    <row r="1" spans="1:4" x14ac:dyDescent="0.3">
      <c r="A1" t="s">
        <v>238</v>
      </c>
      <c r="B1" t="s">
        <v>239</v>
      </c>
      <c r="C1" t="s">
        <v>240</v>
      </c>
    </row>
    <row r="2" spans="1:4" x14ac:dyDescent="0.3">
      <c r="A2" s="50">
        <v>46239</v>
      </c>
      <c r="B2" t="s">
        <v>241</v>
      </c>
      <c r="C2">
        <v>-38.46</v>
      </c>
      <c r="D2" t="s">
        <v>242</v>
      </c>
    </row>
    <row r="3" spans="1:4" x14ac:dyDescent="0.3">
      <c r="A3" s="50">
        <v>46246</v>
      </c>
      <c r="B3" t="s">
        <v>243</v>
      </c>
      <c r="C3">
        <v>-20.59</v>
      </c>
      <c r="D3" t="s">
        <v>244</v>
      </c>
    </row>
    <row r="4" spans="1:4" x14ac:dyDescent="0.3">
      <c r="A4" s="50">
        <v>46247</v>
      </c>
      <c r="B4" t="s">
        <v>245</v>
      </c>
      <c r="C4">
        <v>-2</v>
      </c>
      <c r="D4" t="s">
        <v>242</v>
      </c>
    </row>
    <row r="5" spans="1:4" x14ac:dyDescent="0.3">
      <c r="A5" s="50">
        <v>46259</v>
      </c>
      <c r="B5" t="s">
        <v>246</v>
      </c>
      <c r="C5">
        <v>639.16999999999996</v>
      </c>
    </row>
    <row r="6" spans="1:4" x14ac:dyDescent="0.3">
      <c r="A6" s="50">
        <v>46265</v>
      </c>
      <c r="B6" t="s">
        <v>247</v>
      </c>
      <c r="C6">
        <v>-140</v>
      </c>
      <c r="D6" t="s">
        <v>244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Statistics Sept 2026</vt:lpstr>
      <vt:lpstr>Balance Sheet Aug 26</vt:lpstr>
      <vt:lpstr>P&amp;L Aug 26</vt:lpstr>
      <vt:lpstr>Expense by Vendor Aug 26</vt:lpstr>
      <vt:lpstr>Credit Card August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Amie</dc:creator>
  <cp:lastModifiedBy>Amie</cp:lastModifiedBy>
  <cp:lastPrinted>2026-10-07T21:20:36Z</cp:lastPrinted>
  <dcterms:created xsi:type="dcterms:W3CDTF">2026-10-07T19:38:54Z</dcterms:created>
  <dcterms:modified xsi:type="dcterms:W3CDTF">2026-10-07T21:23:16Z</dcterms:modified>
</cp:coreProperties>
</file>