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29194CBD-D39D-41A7-99E4-007EE6930FF7}" xr6:coauthVersionLast="47" xr6:coauthVersionMax="47" xr10:uidLastSave="{00000000-0000-0000-0000-000000000000}"/>
  <bookViews>
    <workbookView xWindow="-108" yWindow="-108" windowWidth="23256" windowHeight="12456" xr2:uid="{C6B6FAD8-82DE-4810-863F-9C6B12A50765}"/>
  </bookViews>
  <sheets>
    <sheet name="Mill Levy 2026 calc" sheetId="9" r:id="rId1"/>
    <sheet name="2026 Revenue budgeted" sheetId="10" r:id="rId2"/>
    <sheet name="2026 Expenses budgeted" sheetId="11" r:id="rId3"/>
    <sheet name="2026 Total Asset Balance budge" sheetId="12" r:id="rId4"/>
    <sheet name="Balance Sheet Oct 2025" sheetId="5" r:id="rId5"/>
    <sheet name="Budget vs. Actuals Oct 25" sheetId="6" r:id="rId6"/>
    <sheet name="Expenses by Vendor Oct 25" sheetId="7" r:id="rId7"/>
    <sheet name="Credit Card October 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D17" i="12"/>
  <c r="C17" i="12"/>
  <c r="B17" i="12"/>
  <c r="E8" i="12"/>
  <c r="D8" i="12"/>
  <c r="C8" i="12"/>
  <c r="B8" i="12"/>
  <c r="F69" i="11"/>
  <c r="E69" i="11"/>
  <c r="D69" i="11"/>
  <c r="C64" i="11"/>
  <c r="C53" i="11"/>
  <c r="C42" i="11"/>
  <c r="C23" i="11"/>
  <c r="C69" i="11" s="1"/>
  <c r="G12" i="10"/>
  <c r="F12" i="10"/>
  <c r="E12" i="10"/>
  <c r="D9" i="10"/>
  <c r="D12" i="10" s="1"/>
  <c r="I10" i="9"/>
  <c r="F10" i="9"/>
  <c r="I6" i="9"/>
  <c r="I7" i="9" s="1"/>
  <c r="I8" i="9" s="1"/>
  <c r="I16" i="9" s="1"/>
  <c r="I19" i="9" s="1"/>
  <c r="F6" i="9"/>
  <c r="AT99" i="6"/>
  <c r="N99" i="6"/>
  <c r="K99" i="6"/>
  <c r="M99" i="6" s="1"/>
  <c r="J99" i="6"/>
  <c r="L99" i="6" s="1"/>
  <c r="AU98" i="6"/>
  <c r="AQ98" i="6"/>
  <c r="AP98" i="6"/>
  <c r="AR98" i="6" s="1"/>
  <c r="AM98" i="6"/>
  <c r="AO98" i="6" s="1"/>
  <c r="AL98" i="6"/>
  <c r="AL99" i="6" s="1"/>
  <c r="AI98" i="6"/>
  <c r="AK98" i="6" s="1"/>
  <c r="AH98" i="6"/>
  <c r="AG98" i="6"/>
  <c r="AE98" i="6"/>
  <c r="AD98" i="6"/>
  <c r="AA98" i="6"/>
  <c r="AC98" i="6" s="1"/>
  <c r="Z98" i="6"/>
  <c r="AB98" i="6" s="1"/>
  <c r="X98" i="6"/>
  <c r="W98" i="6"/>
  <c r="Y98" i="6" s="1"/>
  <c r="V98" i="6"/>
  <c r="S98" i="6"/>
  <c r="R98" i="6"/>
  <c r="O98" i="6"/>
  <c r="N98" i="6"/>
  <c r="K98" i="6"/>
  <c r="M98" i="6" s="1"/>
  <c r="J98" i="6"/>
  <c r="G98" i="6"/>
  <c r="I98" i="6" s="1"/>
  <c r="F98" i="6"/>
  <c r="AX98" i="6" s="1"/>
  <c r="D98" i="6"/>
  <c r="C98" i="6"/>
  <c r="B98" i="6"/>
  <c r="AU97" i="6"/>
  <c r="AR97" i="6"/>
  <c r="AQ97" i="6"/>
  <c r="AP97" i="6"/>
  <c r="AO97" i="6"/>
  <c r="AN97" i="6"/>
  <c r="AM97" i="6"/>
  <c r="AL97" i="6"/>
  <c r="AK97" i="6"/>
  <c r="AI97" i="6"/>
  <c r="AH97" i="6"/>
  <c r="AJ97" i="6" s="1"/>
  <c r="AE97" i="6"/>
  <c r="AG97" i="6" s="1"/>
  <c r="AD97" i="6"/>
  <c r="AA97" i="6"/>
  <c r="Z97" i="6"/>
  <c r="Z99" i="6" s="1"/>
  <c r="W97" i="6"/>
  <c r="V97" i="6"/>
  <c r="X97" i="6" s="1"/>
  <c r="S97" i="6"/>
  <c r="R97" i="6"/>
  <c r="O97" i="6"/>
  <c r="N97" i="6"/>
  <c r="L97" i="6"/>
  <c r="K97" i="6"/>
  <c r="M97" i="6" s="1"/>
  <c r="G97" i="6"/>
  <c r="G99" i="6" s="1"/>
  <c r="F97" i="6"/>
  <c r="C97" i="6"/>
  <c r="B97" i="6"/>
  <c r="D97" i="6" s="1"/>
  <c r="AW96" i="6"/>
  <c r="AU96" i="6"/>
  <c r="AV96" i="6" s="1"/>
  <c r="AQ96" i="6"/>
  <c r="AR96" i="6" s="1"/>
  <c r="AM96" i="6"/>
  <c r="AO96" i="6" s="1"/>
  <c r="AL96" i="6"/>
  <c r="AN96" i="6" s="1"/>
  <c r="AI96" i="6"/>
  <c r="AH96" i="6"/>
  <c r="AE96" i="6"/>
  <c r="AG96" i="6" s="1"/>
  <c r="AD96" i="6"/>
  <c r="AB96" i="6"/>
  <c r="AA96" i="6"/>
  <c r="AC96" i="6" s="1"/>
  <c r="Y96" i="6"/>
  <c r="W96" i="6"/>
  <c r="V96" i="6"/>
  <c r="X96" i="6" s="1"/>
  <c r="S96" i="6"/>
  <c r="R96" i="6"/>
  <c r="P96" i="6"/>
  <c r="O96" i="6"/>
  <c r="Q96" i="6" s="1"/>
  <c r="N96" i="6"/>
  <c r="L96" i="6"/>
  <c r="K96" i="6"/>
  <c r="M96" i="6" s="1"/>
  <c r="J96" i="6"/>
  <c r="G96" i="6"/>
  <c r="F96" i="6"/>
  <c r="E96" i="6"/>
  <c r="D96" i="6"/>
  <c r="C96" i="6"/>
  <c r="B96" i="6"/>
  <c r="AU95" i="6"/>
  <c r="AW95" i="6" s="1"/>
  <c r="AS95" i="6"/>
  <c r="AQ95" i="6"/>
  <c r="AN95" i="6"/>
  <c r="AM95" i="6"/>
  <c r="AO95" i="6" s="1"/>
  <c r="AI95" i="6"/>
  <c r="AH95" i="6"/>
  <c r="AG95" i="6"/>
  <c r="AF95" i="6"/>
  <c r="AE95" i="6"/>
  <c r="AD95" i="6"/>
  <c r="AA95" i="6"/>
  <c r="Y95" i="6"/>
  <c r="X95" i="6"/>
  <c r="W95" i="6"/>
  <c r="V95" i="6"/>
  <c r="S95" i="6"/>
  <c r="U95" i="6" s="1"/>
  <c r="R95" i="6"/>
  <c r="T95" i="6" s="1"/>
  <c r="O95" i="6"/>
  <c r="K95" i="6"/>
  <c r="M95" i="6" s="1"/>
  <c r="J95" i="6"/>
  <c r="L95" i="6" s="1"/>
  <c r="I95" i="6"/>
  <c r="H95" i="6"/>
  <c r="G95" i="6"/>
  <c r="F95" i="6"/>
  <c r="C95" i="6"/>
  <c r="B95" i="6"/>
  <c r="BA94" i="6"/>
  <c r="AY94" i="6"/>
  <c r="AX94" i="6"/>
  <c r="AW94" i="6"/>
  <c r="AV94" i="6"/>
  <c r="AS94" i="6"/>
  <c r="AR94" i="6"/>
  <c r="AO94" i="6"/>
  <c r="AN94" i="6"/>
  <c r="AK94" i="6"/>
  <c r="AJ94" i="6"/>
  <c r="AG94" i="6"/>
  <c r="AF94" i="6"/>
  <c r="AC94" i="6"/>
  <c r="AB94" i="6"/>
  <c r="Y94" i="6"/>
  <c r="X94" i="6"/>
  <c r="U94" i="6"/>
  <c r="T94" i="6"/>
  <c r="Q94" i="6"/>
  <c r="P94" i="6"/>
  <c r="M94" i="6"/>
  <c r="L94" i="6"/>
  <c r="I94" i="6"/>
  <c r="H94" i="6"/>
  <c r="E94" i="6"/>
  <c r="D94" i="6"/>
  <c r="AU93" i="6"/>
  <c r="AT93" i="6"/>
  <c r="AP93" i="6"/>
  <c r="AD93" i="6"/>
  <c r="Z93" i="6"/>
  <c r="G93" i="6"/>
  <c r="AU92" i="6"/>
  <c r="AW92" i="6" s="1"/>
  <c r="AS92" i="6"/>
  <c r="AR92" i="6"/>
  <c r="AQ92" i="6"/>
  <c r="AN92" i="6"/>
  <c r="AM92" i="6"/>
  <c r="AO92" i="6" s="1"/>
  <c r="AL92" i="6"/>
  <c r="AJ92" i="6"/>
  <c r="AI92" i="6"/>
  <c r="AK92" i="6" s="1"/>
  <c r="AH92" i="6"/>
  <c r="AE92" i="6"/>
  <c r="AD92" i="6"/>
  <c r="AA92" i="6"/>
  <c r="AC92" i="6" s="1"/>
  <c r="Z92" i="6"/>
  <c r="Y92" i="6"/>
  <c r="W92" i="6"/>
  <c r="V92" i="6"/>
  <c r="X92" i="6" s="1"/>
  <c r="S92" i="6"/>
  <c r="R92" i="6"/>
  <c r="T92" i="6" s="1"/>
  <c r="Q92" i="6"/>
  <c r="O92" i="6"/>
  <c r="N92" i="6"/>
  <c r="P92" i="6" s="1"/>
  <c r="K92" i="6"/>
  <c r="J92" i="6"/>
  <c r="G92" i="6"/>
  <c r="F92" i="6"/>
  <c r="H92" i="6" s="1"/>
  <c r="C92" i="6"/>
  <c r="B92" i="6"/>
  <c r="AV91" i="6"/>
  <c r="AU91" i="6"/>
  <c r="AW91" i="6" s="1"/>
  <c r="AQ91" i="6"/>
  <c r="AS91" i="6" s="1"/>
  <c r="AO91" i="6"/>
  <c r="AM91" i="6"/>
  <c r="AN91" i="6" s="1"/>
  <c r="AJ91" i="6"/>
  <c r="AI91" i="6"/>
  <c r="AK91" i="6" s="1"/>
  <c r="AE91" i="6"/>
  <c r="AC91" i="6"/>
  <c r="AA91" i="6"/>
  <c r="AB91" i="6" s="1"/>
  <c r="X91" i="6"/>
  <c r="W91" i="6"/>
  <c r="Y91" i="6" s="1"/>
  <c r="V91" i="6"/>
  <c r="AX91" i="6" s="1"/>
  <c r="U91" i="6"/>
  <c r="T91" i="6"/>
  <c r="S91" i="6"/>
  <c r="Q91" i="6"/>
  <c r="P91" i="6"/>
  <c r="O91" i="6"/>
  <c r="M91" i="6"/>
  <c r="K91" i="6"/>
  <c r="L91" i="6" s="1"/>
  <c r="I91" i="6"/>
  <c r="H91" i="6"/>
  <c r="G91" i="6"/>
  <c r="E91" i="6"/>
  <c r="D91" i="6"/>
  <c r="C91" i="6"/>
  <c r="AX90" i="6"/>
  <c r="AU90" i="6"/>
  <c r="AV90" i="6" s="1"/>
  <c r="AQ90" i="6"/>
  <c r="AS90" i="6" s="1"/>
  <c r="AN90" i="6"/>
  <c r="AM90" i="6"/>
  <c r="AO90" i="6" s="1"/>
  <c r="AK90" i="6"/>
  <c r="AJ90" i="6"/>
  <c r="AI90" i="6"/>
  <c r="AE90" i="6"/>
  <c r="AC90" i="6"/>
  <c r="AB90" i="6"/>
  <c r="AA90" i="6"/>
  <c r="W90" i="6"/>
  <c r="X90" i="6" s="1"/>
  <c r="U90" i="6"/>
  <c r="T90" i="6"/>
  <c r="S90" i="6"/>
  <c r="Q90" i="6"/>
  <c r="P90" i="6"/>
  <c r="O90" i="6"/>
  <c r="K90" i="6"/>
  <c r="L90" i="6" s="1"/>
  <c r="G90" i="6"/>
  <c r="I90" i="6" s="1"/>
  <c r="F90" i="6"/>
  <c r="C90" i="6"/>
  <c r="AU89" i="6"/>
  <c r="AS89" i="6"/>
  <c r="AR89" i="6"/>
  <c r="AQ89" i="6"/>
  <c r="AM89" i="6"/>
  <c r="AK89" i="6"/>
  <c r="AJ89" i="6"/>
  <c r="AI89" i="6"/>
  <c r="AI93" i="6" s="1"/>
  <c r="AH89" i="6"/>
  <c r="AE89" i="6"/>
  <c r="AA89" i="6"/>
  <c r="Z89" i="6"/>
  <c r="W89" i="6"/>
  <c r="V89" i="6"/>
  <c r="V93" i="6" s="1"/>
  <c r="U89" i="6"/>
  <c r="S89" i="6"/>
  <c r="T89" i="6" s="1"/>
  <c r="O89" i="6"/>
  <c r="O93" i="6" s="1"/>
  <c r="N89" i="6"/>
  <c r="K89" i="6"/>
  <c r="J89" i="6"/>
  <c r="G89" i="6"/>
  <c r="D89" i="6"/>
  <c r="C89" i="6"/>
  <c r="E89" i="6" s="1"/>
  <c r="AV88" i="6"/>
  <c r="AU88" i="6"/>
  <c r="AW88" i="6" s="1"/>
  <c r="AQ88" i="6"/>
  <c r="AM88" i="6"/>
  <c r="AL88" i="6"/>
  <c r="AL93" i="6" s="1"/>
  <c r="AI88" i="6"/>
  <c r="AH88" i="6"/>
  <c r="AE88" i="6"/>
  <c r="AG88" i="6" s="1"/>
  <c r="AD88" i="6"/>
  <c r="AF88" i="6" s="1"/>
  <c r="AB88" i="6"/>
  <c r="AA88" i="6"/>
  <c r="Z88" i="6"/>
  <c r="AC88" i="6" s="1"/>
  <c r="W88" i="6"/>
  <c r="V88" i="6"/>
  <c r="X88" i="6" s="1"/>
  <c r="S88" i="6"/>
  <c r="U88" i="6" s="1"/>
  <c r="R88" i="6"/>
  <c r="Q88" i="6"/>
  <c r="P88" i="6"/>
  <c r="O88" i="6"/>
  <c r="N88" i="6"/>
  <c r="M88" i="6"/>
  <c r="K88" i="6"/>
  <c r="K93" i="6" s="1"/>
  <c r="J88" i="6"/>
  <c r="L88" i="6" s="1"/>
  <c r="G88" i="6"/>
  <c r="F88" i="6"/>
  <c r="D88" i="6"/>
  <c r="C88" i="6"/>
  <c r="B88" i="6"/>
  <c r="AY87" i="6"/>
  <c r="BA87" i="6" s="1"/>
  <c r="AX87" i="6"/>
  <c r="AZ87" i="6" s="1"/>
  <c r="AW87" i="6"/>
  <c r="AV87" i="6"/>
  <c r="AS87" i="6"/>
  <c r="AR87" i="6"/>
  <c r="AO87" i="6"/>
  <c r="AN87" i="6"/>
  <c r="AK87" i="6"/>
  <c r="AJ87" i="6"/>
  <c r="AG87" i="6"/>
  <c r="AF87" i="6"/>
  <c r="AC87" i="6"/>
  <c r="AB87" i="6"/>
  <c r="Y87" i="6"/>
  <c r="X87" i="6"/>
  <c r="U87" i="6"/>
  <c r="T87" i="6"/>
  <c r="Q87" i="6"/>
  <c r="P87" i="6"/>
  <c r="M87" i="6"/>
  <c r="L87" i="6"/>
  <c r="I87" i="6"/>
  <c r="H87" i="6"/>
  <c r="E87" i="6"/>
  <c r="D87" i="6"/>
  <c r="AW86" i="6"/>
  <c r="AV86" i="6"/>
  <c r="AU86" i="6"/>
  <c r="AQ86" i="6"/>
  <c r="AN86" i="6"/>
  <c r="AM86" i="6"/>
  <c r="AO86" i="6" s="1"/>
  <c r="AK86" i="6"/>
  <c r="AJ86" i="6"/>
  <c r="AI86" i="6"/>
  <c r="AE86" i="6"/>
  <c r="AG86" i="6" s="1"/>
  <c r="AD86" i="6"/>
  <c r="AF86" i="6" s="1"/>
  <c r="AA86" i="6"/>
  <c r="W86" i="6"/>
  <c r="Y86" i="6" s="1"/>
  <c r="V86" i="6"/>
  <c r="S86" i="6"/>
  <c r="U86" i="6" s="1"/>
  <c r="R86" i="6"/>
  <c r="O86" i="6"/>
  <c r="N86" i="6"/>
  <c r="P86" i="6" s="1"/>
  <c r="K86" i="6"/>
  <c r="M86" i="6" s="1"/>
  <c r="J86" i="6"/>
  <c r="I86" i="6"/>
  <c r="H86" i="6"/>
  <c r="G86" i="6"/>
  <c r="F86" i="6"/>
  <c r="D86" i="6"/>
  <c r="C86" i="6"/>
  <c r="B86" i="6"/>
  <c r="AT85" i="6"/>
  <c r="AP85" i="6"/>
  <c r="AM85" i="6"/>
  <c r="AI85" i="6"/>
  <c r="AD85" i="6"/>
  <c r="S85" i="6"/>
  <c r="U85" i="6" s="1"/>
  <c r="G85" i="6"/>
  <c r="F85" i="6"/>
  <c r="H85" i="6" s="1"/>
  <c r="AX84" i="6"/>
  <c r="AW84" i="6"/>
  <c r="AV84" i="6"/>
  <c r="AU84" i="6"/>
  <c r="AR84" i="6"/>
  <c r="AQ84" i="6"/>
  <c r="AS84" i="6" s="1"/>
  <c r="AM84" i="6"/>
  <c r="AL84" i="6"/>
  <c r="AN84" i="6" s="1"/>
  <c r="AK84" i="6"/>
  <c r="AJ84" i="6"/>
  <c r="AI84" i="6"/>
  <c r="AH84" i="6"/>
  <c r="AE84" i="6"/>
  <c r="AG84" i="6" s="1"/>
  <c r="AA84" i="6"/>
  <c r="Z84" i="6"/>
  <c r="AB84" i="6" s="1"/>
  <c r="Y84" i="6"/>
  <c r="X84" i="6"/>
  <c r="W84" i="6"/>
  <c r="V84" i="6"/>
  <c r="S84" i="6"/>
  <c r="Q84" i="6"/>
  <c r="P84" i="6"/>
  <c r="O84" i="6"/>
  <c r="L84" i="6"/>
  <c r="K84" i="6"/>
  <c r="I84" i="6"/>
  <c r="H84" i="6"/>
  <c r="G84" i="6"/>
  <c r="D84" i="6"/>
  <c r="C84" i="6"/>
  <c r="E84" i="6" s="1"/>
  <c r="AW83" i="6"/>
  <c r="AU83" i="6"/>
  <c r="AV83" i="6" s="1"/>
  <c r="AQ83" i="6"/>
  <c r="AO83" i="6"/>
  <c r="AN83" i="6"/>
  <c r="AM83" i="6"/>
  <c r="AK83" i="6"/>
  <c r="AJ83" i="6"/>
  <c r="AI83" i="6"/>
  <c r="AH83" i="6"/>
  <c r="AE83" i="6"/>
  <c r="AD83" i="6"/>
  <c r="AC83" i="6"/>
  <c r="AB83" i="6"/>
  <c r="AA83" i="6"/>
  <c r="Z83" i="6"/>
  <c r="X83" i="6"/>
  <c r="W83" i="6"/>
  <c r="Y83" i="6" s="1"/>
  <c r="V83" i="6"/>
  <c r="S83" i="6"/>
  <c r="R83" i="6"/>
  <c r="T83" i="6" s="1"/>
  <c r="O83" i="6"/>
  <c r="N83" i="6"/>
  <c r="P83" i="6" s="1"/>
  <c r="K83" i="6"/>
  <c r="J83" i="6"/>
  <c r="L83" i="6" s="1"/>
  <c r="I83" i="6"/>
  <c r="G83" i="6"/>
  <c r="F83" i="6"/>
  <c r="D83" i="6"/>
  <c r="C83" i="6"/>
  <c r="E83" i="6" s="1"/>
  <c r="AX82" i="6"/>
  <c r="AW82" i="6"/>
  <c r="AV82" i="6"/>
  <c r="AU82" i="6"/>
  <c r="AS82" i="6"/>
  <c r="AR82" i="6"/>
  <c r="AQ82" i="6"/>
  <c r="AO82" i="6"/>
  <c r="AN82" i="6"/>
  <c r="AM82" i="6"/>
  <c r="AL82" i="6"/>
  <c r="AI82" i="6"/>
  <c r="AK82" i="6" s="1"/>
  <c r="AH82" i="6"/>
  <c r="AJ82" i="6" s="1"/>
  <c r="AE82" i="6"/>
  <c r="AG82" i="6" s="1"/>
  <c r="AD82" i="6"/>
  <c r="AF82" i="6" s="1"/>
  <c r="AA82" i="6"/>
  <c r="Z82" i="6"/>
  <c r="W82" i="6"/>
  <c r="W85" i="6" s="1"/>
  <c r="V82" i="6"/>
  <c r="S82" i="6"/>
  <c r="R82" i="6"/>
  <c r="U82" i="6" s="1"/>
  <c r="Q82" i="6"/>
  <c r="O82" i="6"/>
  <c r="N82" i="6"/>
  <c r="P82" i="6" s="1"/>
  <c r="M82" i="6"/>
  <c r="L82" i="6"/>
  <c r="K82" i="6"/>
  <c r="J82" i="6"/>
  <c r="G82" i="6"/>
  <c r="F82" i="6"/>
  <c r="H82" i="6" s="1"/>
  <c r="C82" i="6"/>
  <c r="B82" i="6"/>
  <c r="AX81" i="6"/>
  <c r="AU81" i="6"/>
  <c r="AQ81" i="6"/>
  <c r="AO81" i="6"/>
  <c r="AM81" i="6"/>
  <c r="AL81" i="6"/>
  <c r="AI81" i="6"/>
  <c r="AH81" i="6"/>
  <c r="AE81" i="6"/>
  <c r="AD81" i="6"/>
  <c r="AF81" i="6" s="1"/>
  <c r="AC81" i="6"/>
  <c r="AB81" i="6"/>
  <c r="AA81" i="6"/>
  <c r="AA85" i="6" s="1"/>
  <c r="X81" i="6"/>
  <c r="W81" i="6"/>
  <c r="Y81" i="6" s="1"/>
  <c r="V81" i="6"/>
  <c r="U81" i="6"/>
  <c r="S81" i="6"/>
  <c r="R81" i="6"/>
  <c r="R85" i="6" s="1"/>
  <c r="T85" i="6" s="1"/>
  <c r="O81" i="6"/>
  <c r="N81" i="6"/>
  <c r="K81" i="6"/>
  <c r="M81" i="6" s="1"/>
  <c r="J81" i="6"/>
  <c r="L81" i="6" s="1"/>
  <c r="G81" i="6"/>
  <c r="F81" i="6"/>
  <c r="H81" i="6" s="1"/>
  <c r="D81" i="6"/>
  <c r="C81" i="6"/>
  <c r="B81" i="6"/>
  <c r="AZ80" i="6"/>
  <c r="AY80" i="6"/>
  <c r="BA80" i="6" s="1"/>
  <c r="AX80" i="6"/>
  <c r="AW80" i="6"/>
  <c r="AV80" i="6"/>
  <c r="AS80" i="6"/>
  <c r="AR80" i="6"/>
  <c r="AO80" i="6"/>
  <c r="AN80" i="6"/>
  <c r="AK80" i="6"/>
  <c r="AJ80" i="6"/>
  <c r="AG80" i="6"/>
  <c r="AF80" i="6"/>
  <c r="AC80" i="6"/>
  <c r="AB80" i="6"/>
  <c r="Y80" i="6"/>
  <c r="X80" i="6"/>
  <c r="U80" i="6"/>
  <c r="T80" i="6"/>
  <c r="Q80" i="6"/>
  <c r="P80" i="6"/>
  <c r="M80" i="6"/>
  <c r="L80" i="6"/>
  <c r="I80" i="6"/>
  <c r="H80" i="6"/>
  <c r="E80" i="6"/>
  <c r="D80" i="6"/>
  <c r="AT79" i="6"/>
  <c r="AP79" i="6"/>
  <c r="R79" i="6"/>
  <c r="O79" i="6"/>
  <c r="N79" i="6"/>
  <c r="Q79" i="6" s="1"/>
  <c r="K79" i="6"/>
  <c r="B79" i="6"/>
  <c r="AU78" i="6"/>
  <c r="AQ78" i="6"/>
  <c r="AM78" i="6"/>
  <c r="AL78" i="6"/>
  <c r="AL79" i="6" s="1"/>
  <c r="AI78" i="6"/>
  <c r="AH78" i="6"/>
  <c r="AE78" i="6"/>
  <c r="AD78" i="6"/>
  <c r="AF78" i="6" s="1"/>
  <c r="AC78" i="6"/>
  <c r="AB78" i="6"/>
  <c r="AA78" i="6"/>
  <c r="Z78" i="6"/>
  <c r="W78" i="6"/>
  <c r="V78" i="6"/>
  <c r="U78" i="6"/>
  <c r="T78" i="6"/>
  <c r="S78" i="6"/>
  <c r="R78" i="6"/>
  <c r="Q78" i="6"/>
  <c r="O78" i="6"/>
  <c r="N78" i="6"/>
  <c r="P78" i="6" s="1"/>
  <c r="K78" i="6"/>
  <c r="J78" i="6"/>
  <c r="L78" i="6" s="1"/>
  <c r="G78" i="6"/>
  <c r="F78" i="6"/>
  <c r="C78" i="6"/>
  <c r="E78" i="6" s="1"/>
  <c r="B78" i="6"/>
  <c r="D78" i="6" s="1"/>
  <c r="AW77" i="6"/>
  <c r="AV77" i="6"/>
  <c r="AU77" i="6"/>
  <c r="AQ77" i="6"/>
  <c r="AO77" i="6"/>
  <c r="AN77" i="6"/>
  <c r="AM77" i="6"/>
  <c r="AI77" i="6"/>
  <c r="AI79" i="6" s="1"/>
  <c r="AH77" i="6"/>
  <c r="AG77" i="6"/>
  <c r="AE77" i="6"/>
  <c r="AD77" i="6"/>
  <c r="AA77" i="6"/>
  <c r="Z77" i="6"/>
  <c r="Y77" i="6"/>
  <c r="W77" i="6"/>
  <c r="V77" i="6"/>
  <c r="S77" i="6"/>
  <c r="Q77" i="6"/>
  <c r="O77" i="6"/>
  <c r="N77" i="6"/>
  <c r="K77" i="6"/>
  <c r="M77" i="6" s="1"/>
  <c r="J77" i="6"/>
  <c r="G77" i="6"/>
  <c r="I77" i="6" s="1"/>
  <c r="C77" i="6"/>
  <c r="B77" i="6"/>
  <c r="AX76" i="6"/>
  <c r="AW76" i="6"/>
  <c r="AV76" i="6"/>
  <c r="AU76" i="6"/>
  <c r="AQ76" i="6"/>
  <c r="AO76" i="6"/>
  <c r="AM76" i="6"/>
  <c r="AK76" i="6"/>
  <c r="AJ76" i="6"/>
  <c r="AI76" i="6"/>
  <c r="AF76" i="6"/>
  <c r="AE76" i="6"/>
  <c r="AB76" i="6"/>
  <c r="AA76" i="6"/>
  <c r="AC76" i="6" s="1"/>
  <c r="Y76" i="6"/>
  <c r="X76" i="6"/>
  <c r="W76" i="6"/>
  <c r="S76" i="6"/>
  <c r="O76" i="6"/>
  <c r="Q76" i="6" s="1"/>
  <c r="M76" i="6"/>
  <c r="K76" i="6"/>
  <c r="L76" i="6" s="1"/>
  <c r="I76" i="6"/>
  <c r="H76" i="6"/>
  <c r="G76" i="6"/>
  <c r="E76" i="6"/>
  <c r="D76" i="6"/>
  <c r="C76" i="6"/>
  <c r="AX75" i="6"/>
  <c r="AU75" i="6"/>
  <c r="AQ75" i="6"/>
  <c r="AR75" i="6" s="1"/>
  <c r="AO75" i="6"/>
  <c r="AN75" i="6"/>
  <c r="AM75" i="6"/>
  <c r="AI75" i="6"/>
  <c r="AE75" i="6"/>
  <c r="AY75" i="6" s="1"/>
  <c r="BA75" i="6" s="1"/>
  <c r="AD75" i="6"/>
  <c r="AA75" i="6"/>
  <c r="AB75" i="6" s="1"/>
  <c r="Y75" i="6"/>
  <c r="X75" i="6"/>
  <c r="W75" i="6"/>
  <c r="S75" i="6"/>
  <c r="Q75" i="6"/>
  <c r="P75" i="6"/>
  <c r="O75" i="6"/>
  <c r="M75" i="6"/>
  <c r="K75" i="6"/>
  <c r="L75" i="6" s="1"/>
  <c r="J75" i="6"/>
  <c r="G75" i="6"/>
  <c r="F75" i="6"/>
  <c r="E75" i="6"/>
  <c r="C75" i="6"/>
  <c r="D75" i="6" s="1"/>
  <c r="AU74" i="6"/>
  <c r="AQ74" i="6"/>
  <c r="AR74" i="6" s="1"/>
  <c r="AN74" i="6"/>
  <c r="AM74" i="6"/>
  <c r="AO74" i="6" s="1"/>
  <c r="AL74" i="6"/>
  <c r="AK74" i="6"/>
  <c r="AJ74" i="6"/>
  <c r="AI74" i="6"/>
  <c r="AH74" i="6"/>
  <c r="AF74" i="6"/>
  <c r="AE74" i="6"/>
  <c r="AG74" i="6" s="1"/>
  <c r="AC74" i="6"/>
  <c r="AB74" i="6"/>
  <c r="AA74" i="6"/>
  <c r="Z74" i="6"/>
  <c r="W74" i="6"/>
  <c r="V74" i="6"/>
  <c r="X74" i="6" s="1"/>
  <c r="S74" i="6"/>
  <c r="R74" i="6"/>
  <c r="T74" i="6" s="1"/>
  <c r="O74" i="6"/>
  <c r="Q74" i="6" s="1"/>
  <c r="N74" i="6"/>
  <c r="K74" i="6"/>
  <c r="M74" i="6" s="1"/>
  <c r="J74" i="6"/>
  <c r="I74" i="6"/>
  <c r="H74" i="6"/>
  <c r="G74" i="6"/>
  <c r="F74" i="6"/>
  <c r="C74" i="6"/>
  <c r="B74" i="6"/>
  <c r="AW73" i="6"/>
  <c r="AV73" i="6"/>
  <c r="AU73" i="6"/>
  <c r="AR73" i="6"/>
  <c r="AQ73" i="6"/>
  <c r="AS73" i="6" s="1"/>
  <c r="AM73" i="6"/>
  <c r="AL73" i="6"/>
  <c r="AK73" i="6"/>
  <c r="AJ73" i="6"/>
  <c r="AI73" i="6"/>
  <c r="AH73" i="6"/>
  <c r="AE73" i="6"/>
  <c r="AD73" i="6"/>
  <c r="AF73" i="6" s="1"/>
  <c r="AA73" i="6"/>
  <c r="Z73" i="6"/>
  <c r="AB73" i="6" s="1"/>
  <c r="Y73" i="6"/>
  <c r="W73" i="6"/>
  <c r="V73" i="6"/>
  <c r="X73" i="6" s="1"/>
  <c r="S73" i="6"/>
  <c r="R73" i="6"/>
  <c r="O73" i="6"/>
  <c r="N73" i="6"/>
  <c r="P73" i="6" s="1"/>
  <c r="K73" i="6"/>
  <c r="J73" i="6"/>
  <c r="G73" i="6"/>
  <c r="I73" i="6" s="1"/>
  <c r="F73" i="6"/>
  <c r="H73" i="6" s="1"/>
  <c r="C73" i="6"/>
  <c r="E73" i="6" s="1"/>
  <c r="B73" i="6"/>
  <c r="D73" i="6" s="1"/>
  <c r="AX72" i="6"/>
  <c r="AW72" i="6"/>
  <c r="AU72" i="6"/>
  <c r="AV72" i="6" s="1"/>
  <c r="AS72" i="6"/>
  <c r="AR72" i="6"/>
  <c r="AQ72" i="6"/>
  <c r="AM72" i="6"/>
  <c r="AO72" i="6" s="1"/>
  <c r="AK72" i="6"/>
  <c r="AJ72" i="6"/>
  <c r="AI72" i="6"/>
  <c r="AG72" i="6"/>
  <c r="AE72" i="6"/>
  <c r="AF72" i="6" s="1"/>
  <c r="AA72" i="6"/>
  <c r="Y72" i="6"/>
  <c r="X72" i="6"/>
  <c r="W72" i="6"/>
  <c r="S72" i="6"/>
  <c r="O72" i="6"/>
  <c r="P72" i="6" s="1"/>
  <c r="K72" i="6"/>
  <c r="I72" i="6"/>
  <c r="H72" i="6"/>
  <c r="G72" i="6"/>
  <c r="D72" i="6"/>
  <c r="C72" i="6"/>
  <c r="E72" i="6" s="1"/>
  <c r="AT71" i="6"/>
  <c r="AI71" i="6"/>
  <c r="X71" i="6"/>
  <c r="W71" i="6"/>
  <c r="Y71" i="6" s="1"/>
  <c r="V71" i="6"/>
  <c r="J71" i="6"/>
  <c r="AW70" i="6"/>
  <c r="AU70" i="6"/>
  <c r="AV70" i="6" s="1"/>
  <c r="AQ70" i="6"/>
  <c r="AM70" i="6"/>
  <c r="AI70" i="6"/>
  <c r="AK70" i="6" s="1"/>
  <c r="AH70" i="6"/>
  <c r="AX70" i="6" s="1"/>
  <c r="AE70" i="6"/>
  <c r="AG70" i="6" s="1"/>
  <c r="AA70" i="6"/>
  <c r="Y70" i="6"/>
  <c r="X70" i="6"/>
  <c r="W70" i="6"/>
  <c r="U70" i="6"/>
  <c r="S70" i="6"/>
  <c r="T70" i="6" s="1"/>
  <c r="O70" i="6"/>
  <c r="K70" i="6"/>
  <c r="G70" i="6"/>
  <c r="C70" i="6"/>
  <c r="E70" i="6" s="1"/>
  <c r="AY69" i="6"/>
  <c r="AV69" i="6"/>
  <c r="AU69" i="6"/>
  <c r="AW69" i="6" s="1"/>
  <c r="AQ69" i="6"/>
  <c r="AM69" i="6"/>
  <c r="AO69" i="6" s="1"/>
  <c r="AL69" i="6"/>
  <c r="AI69" i="6"/>
  <c r="AK69" i="6" s="1"/>
  <c r="AE69" i="6"/>
  <c r="AA69" i="6"/>
  <c r="AC69" i="6" s="1"/>
  <c r="Y69" i="6"/>
  <c r="W69" i="6"/>
  <c r="V69" i="6"/>
  <c r="X69" i="6" s="1"/>
  <c r="U69" i="6"/>
  <c r="S69" i="6"/>
  <c r="R69" i="6"/>
  <c r="T69" i="6" s="1"/>
  <c r="O69" i="6"/>
  <c r="Q69" i="6" s="1"/>
  <c r="N69" i="6"/>
  <c r="K69" i="6"/>
  <c r="I69" i="6"/>
  <c r="H69" i="6"/>
  <c r="G69" i="6"/>
  <c r="E69" i="6"/>
  <c r="D69" i="6"/>
  <c r="C69" i="6"/>
  <c r="AW68" i="6"/>
  <c r="AV68" i="6"/>
  <c r="AU68" i="6"/>
  <c r="AQ68" i="6"/>
  <c r="AN68" i="6"/>
  <c r="AM68" i="6"/>
  <c r="AO68" i="6" s="1"/>
  <c r="AK68" i="6"/>
  <c r="AJ68" i="6"/>
  <c r="AI68" i="6"/>
  <c r="AH68" i="6"/>
  <c r="AE68" i="6"/>
  <c r="AG68" i="6" s="1"/>
  <c r="AB68" i="6"/>
  <c r="AA68" i="6"/>
  <c r="AC68" i="6" s="1"/>
  <c r="X68" i="6"/>
  <c r="W68" i="6"/>
  <c r="Y68" i="6" s="1"/>
  <c r="V68" i="6"/>
  <c r="S68" i="6"/>
  <c r="Q68" i="6"/>
  <c r="P68" i="6"/>
  <c r="O68" i="6"/>
  <c r="N68" i="6"/>
  <c r="N71" i="6" s="1"/>
  <c r="K68" i="6"/>
  <c r="L68" i="6" s="1"/>
  <c r="I68" i="6"/>
  <c r="H68" i="6"/>
  <c r="G68" i="6"/>
  <c r="C68" i="6"/>
  <c r="B68" i="6"/>
  <c r="AU67" i="6"/>
  <c r="AQ67" i="6"/>
  <c r="AP67" i="6"/>
  <c r="AP71" i="6" s="1"/>
  <c r="AM67" i="6"/>
  <c r="AL67" i="6"/>
  <c r="AK67" i="6"/>
  <c r="AI67" i="6"/>
  <c r="AJ67" i="6" s="1"/>
  <c r="AE67" i="6"/>
  <c r="AG67" i="6" s="1"/>
  <c r="AD67" i="6"/>
  <c r="AF67" i="6" s="1"/>
  <c r="AC67" i="6"/>
  <c r="AB67" i="6"/>
  <c r="AA67" i="6"/>
  <c r="Z67" i="6"/>
  <c r="Z71" i="6" s="1"/>
  <c r="W67" i="6"/>
  <c r="V67" i="6"/>
  <c r="X67" i="6" s="1"/>
  <c r="S67" i="6"/>
  <c r="O67" i="6"/>
  <c r="P67" i="6" s="1"/>
  <c r="N67" i="6"/>
  <c r="K67" i="6"/>
  <c r="M67" i="6" s="1"/>
  <c r="J67" i="6"/>
  <c r="I67" i="6"/>
  <c r="H67" i="6"/>
  <c r="G67" i="6"/>
  <c r="F67" i="6"/>
  <c r="E67" i="6"/>
  <c r="D67" i="6"/>
  <c r="C67" i="6"/>
  <c r="B67" i="6"/>
  <c r="AU66" i="6"/>
  <c r="AW66" i="6" s="1"/>
  <c r="AR66" i="6"/>
  <c r="AQ66" i="6"/>
  <c r="AS66" i="6" s="1"/>
  <c r="AO66" i="6"/>
  <c r="AM66" i="6"/>
  <c r="AN66" i="6" s="1"/>
  <c r="AK66" i="6"/>
  <c r="AJ66" i="6"/>
  <c r="AI66" i="6"/>
  <c r="AG66" i="6"/>
  <c r="AF66" i="6"/>
  <c r="AE66" i="6"/>
  <c r="AA66" i="6"/>
  <c r="W66" i="6"/>
  <c r="Y66" i="6" s="1"/>
  <c r="V66" i="6"/>
  <c r="X66" i="6" s="1"/>
  <c r="S66" i="6"/>
  <c r="U66" i="6" s="1"/>
  <c r="R66" i="6"/>
  <c r="T66" i="6" s="1"/>
  <c r="Q66" i="6"/>
  <c r="P66" i="6"/>
  <c r="O66" i="6"/>
  <c r="L66" i="6"/>
  <c r="K66" i="6"/>
  <c r="M66" i="6" s="1"/>
  <c r="I66" i="6"/>
  <c r="H66" i="6"/>
  <c r="G66" i="6"/>
  <c r="F66" i="6"/>
  <c r="F71" i="6" s="1"/>
  <c r="C66" i="6"/>
  <c r="B66" i="6"/>
  <c r="AW65" i="6"/>
  <c r="AU65" i="6"/>
  <c r="AV65" i="6" s="1"/>
  <c r="AQ65" i="6"/>
  <c r="AS65" i="6" s="1"/>
  <c r="AM65" i="6"/>
  <c r="AL65" i="6"/>
  <c r="AI65" i="6"/>
  <c r="AH65" i="6"/>
  <c r="AJ65" i="6" s="1"/>
  <c r="AE65" i="6"/>
  <c r="AE71" i="6" s="1"/>
  <c r="AD65" i="6"/>
  <c r="AC65" i="6"/>
  <c r="AA65" i="6"/>
  <c r="AB65" i="6" s="1"/>
  <c r="W65" i="6"/>
  <c r="Y65" i="6" s="1"/>
  <c r="V65" i="6"/>
  <c r="X65" i="6" s="1"/>
  <c r="S65" i="6"/>
  <c r="R65" i="6"/>
  <c r="R71" i="6" s="1"/>
  <c r="O65" i="6"/>
  <c r="M65" i="6"/>
  <c r="L65" i="6"/>
  <c r="K65" i="6"/>
  <c r="J65" i="6"/>
  <c r="G65" i="6"/>
  <c r="F65" i="6"/>
  <c r="C65" i="6"/>
  <c r="AX64" i="6"/>
  <c r="AU64" i="6"/>
  <c r="AS64" i="6"/>
  <c r="AQ64" i="6"/>
  <c r="AQ71" i="6" s="1"/>
  <c r="AN64" i="6"/>
  <c r="AM64" i="6"/>
  <c r="AK64" i="6"/>
  <c r="AJ64" i="6"/>
  <c r="AI64" i="6"/>
  <c r="AH64" i="6"/>
  <c r="AE64" i="6"/>
  <c r="AF64" i="6" s="1"/>
  <c r="AC64" i="6"/>
  <c r="AB64" i="6"/>
  <c r="AA64" i="6"/>
  <c r="Y64" i="6"/>
  <c r="X64" i="6"/>
  <c r="W64" i="6"/>
  <c r="S64" i="6"/>
  <c r="T64" i="6" s="1"/>
  <c r="O64" i="6"/>
  <c r="K64" i="6"/>
  <c r="L64" i="6" s="1"/>
  <c r="I64" i="6"/>
  <c r="G64" i="6"/>
  <c r="H64" i="6" s="1"/>
  <c r="D64" i="6"/>
  <c r="C64" i="6"/>
  <c r="BA63" i="6"/>
  <c r="AZ63" i="6"/>
  <c r="AY63" i="6"/>
  <c r="AX63" i="6"/>
  <c r="AW63" i="6"/>
  <c r="AV63" i="6"/>
  <c r="AS63" i="6"/>
  <c r="AR63" i="6"/>
  <c r="AO63" i="6"/>
  <c r="AN63" i="6"/>
  <c r="AK63" i="6"/>
  <c r="AJ63" i="6"/>
  <c r="AG63" i="6"/>
  <c r="AF63" i="6"/>
  <c r="AC63" i="6"/>
  <c r="AB63" i="6"/>
  <c r="Y63" i="6"/>
  <c r="X63" i="6"/>
  <c r="U63" i="6"/>
  <c r="T63" i="6"/>
  <c r="Q63" i="6"/>
  <c r="P63" i="6"/>
  <c r="M63" i="6"/>
  <c r="L63" i="6"/>
  <c r="I63" i="6"/>
  <c r="H63" i="6"/>
  <c r="E63" i="6"/>
  <c r="D63" i="6"/>
  <c r="AU62" i="6"/>
  <c r="AR62" i="6"/>
  <c r="AQ62" i="6"/>
  <c r="AS62" i="6" s="1"/>
  <c r="AN62" i="6"/>
  <c r="AM62" i="6"/>
  <c r="AO62" i="6" s="1"/>
  <c r="AL62" i="6"/>
  <c r="AK62" i="6"/>
  <c r="AJ62" i="6"/>
  <c r="AI62" i="6"/>
  <c r="AF62" i="6"/>
  <c r="AE62" i="6"/>
  <c r="AG62" i="6" s="1"/>
  <c r="AD62" i="6"/>
  <c r="AA62" i="6"/>
  <c r="AC62" i="6" s="1"/>
  <c r="Z62" i="6"/>
  <c r="Y62" i="6"/>
  <c r="X62" i="6"/>
  <c r="W62" i="6"/>
  <c r="S62" i="6"/>
  <c r="O62" i="6"/>
  <c r="N62" i="6"/>
  <c r="K62" i="6"/>
  <c r="M62" i="6" s="1"/>
  <c r="J62" i="6"/>
  <c r="H62" i="6"/>
  <c r="G62" i="6"/>
  <c r="I62" i="6" s="1"/>
  <c r="F62" i="6"/>
  <c r="E62" i="6"/>
  <c r="D62" i="6"/>
  <c r="C62" i="6"/>
  <c r="AU61" i="6"/>
  <c r="AW61" i="6" s="1"/>
  <c r="AR61" i="6"/>
  <c r="AQ61" i="6"/>
  <c r="AS61" i="6" s="1"/>
  <c r="AN61" i="6"/>
  <c r="AM61" i="6"/>
  <c r="AO61" i="6" s="1"/>
  <c r="AL61" i="6"/>
  <c r="AI61" i="6"/>
  <c r="AH61" i="6"/>
  <c r="AE61" i="6"/>
  <c r="AA61" i="6"/>
  <c r="AC61" i="6" s="1"/>
  <c r="Z61" i="6"/>
  <c r="AB61" i="6" s="1"/>
  <c r="Y61" i="6"/>
  <c r="W61" i="6"/>
  <c r="X61" i="6" s="1"/>
  <c r="V61" i="6"/>
  <c r="U61" i="6"/>
  <c r="T61" i="6"/>
  <c r="S61" i="6"/>
  <c r="R61" i="6"/>
  <c r="Q61" i="6"/>
  <c r="P61" i="6"/>
  <c r="O61" i="6"/>
  <c r="N61" i="6"/>
  <c r="L61" i="6"/>
  <c r="K61" i="6"/>
  <c r="M61" i="6" s="1"/>
  <c r="J61" i="6"/>
  <c r="H61" i="6"/>
  <c r="G61" i="6"/>
  <c r="I61" i="6" s="1"/>
  <c r="F61" i="6"/>
  <c r="C61" i="6"/>
  <c r="B61" i="6"/>
  <c r="AX60" i="6"/>
  <c r="AW60" i="6"/>
  <c r="AV60" i="6"/>
  <c r="AU60" i="6"/>
  <c r="AS60" i="6"/>
  <c r="AR60" i="6"/>
  <c r="AQ60" i="6"/>
  <c r="AO60" i="6"/>
  <c r="AN60" i="6"/>
  <c r="AM60" i="6"/>
  <c r="AI60" i="6"/>
  <c r="AG60" i="6"/>
  <c r="AF60" i="6"/>
  <c r="AE60" i="6"/>
  <c r="AC60" i="6"/>
  <c r="AB60" i="6"/>
  <c r="AA60" i="6"/>
  <c r="Y60" i="6"/>
  <c r="W60" i="6"/>
  <c r="X60" i="6" s="1"/>
  <c r="S60" i="6"/>
  <c r="Q60" i="6"/>
  <c r="P60" i="6"/>
  <c r="O60" i="6"/>
  <c r="K60" i="6"/>
  <c r="H60" i="6"/>
  <c r="G60" i="6"/>
  <c r="I60" i="6" s="1"/>
  <c r="C60" i="6"/>
  <c r="AU59" i="6"/>
  <c r="AT59" i="6"/>
  <c r="AV59" i="6" s="1"/>
  <c r="AS59" i="6"/>
  <c r="AR59" i="6"/>
  <c r="AQ59" i="6"/>
  <c r="AP59" i="6"/>
  <c r="AI59" i="6"/>
  <c r="AD59" i="6"/>
  <c r="AA59" i="6"/>
  <c r="Z59" i="6"/>
  <c r="AB59" i="6" s="1"/>
  <c r="V59" i="6"/>
  <c r="R59" i="6"/>
  <c r="N59" i="6"/>
  <c r="J59" i="6"/>
  <c r="G59" i="6"/>
  <c r="B59" i="6"/>
  <c r="AY58" i="6"/>
  <c r="BA58" i="6" s="1"/>
  <c r="AX58" i="6"/>
  <c r="AZ58" i="6" s="1"/>
  <c r="AW58" i="6"/>
  <c r="AV58" i="6"/>
  <c r="AS58" i="6"/>
  <c r="AR58" i="6"/>
  <c r="AO58" i="6"/>
  <c r="AL58" i="6"/>
  <c r="AK58" i="6"/>
  <c r="AJ58" i="6"/>
  <c r="AG58" i="6"/>
  <c r="AF58" i="6"/>
  <c r="AC58" i="6"/>
  <c r="AB58" i="6"/>
  <c r="Y58" i="6"/>
  <c r="X58" i="6"/>
  <c r="U58" i="6"/>
  <c r="R58" i="6"/>
  <c r="T58" i="6" s="1"/>
  <c r="Q58" i="6"/>
  <c r="P58" i="6"/>
  <c r="M58" i="6"/>
  <c r="L58" i="6"/>
  <c r="I58" i="6"/>
  <c r="H58" i="6"/>
  <c r="E58" i="6"/>
  <c r="D58" i="6"/>
  <c r="AY57" i="6"/>
  <c r="BA57" i="6" s="1"/>
  <c r="AW57" i="6"/>
  <c r="AV57" i="6"/>
  <c r="AS57" i="6"/>
  <c r="AR57" i="6"/>
  <c r="AO57" i="6"/>
  <c r="AN57" i="6"/>
  <c r="AL57" i="6"/>
  <c r="AK57" i="6"/>
  <c r="AH57" i="6"/>
  <c r="AG57" i="6"/>
  <c r="AF57" i="6"/>
  <c r="AC57" i="6"/>
  <c r="AB57" i="6"/>
  <c r="Y57" i="6"/>
  <c r="X57" i="6"/>
  <c r="U57" i="6"/>
  <c r="T57" i="6"/>
  <c r="Q57" i="6"/>
  <c r="P57" i="6"/>
  <c r="M57" i="6"/>
  <c r="L57" i="6"/>
  <c r="I57" i="6"/>
  <c r="H57" i="6"/>
  <c r="E57" i="6"/>
  <c r="D57" i="6"/>
  <c r="AX56" i="6"/>
  <c r="AW56" i="6"/>
  <c r="AV56" i="6"/>
  <c r="AU56" i="6"/>
  <c r="AR56" i="6"/>
  <c r="AQ56" i="6"/>
  <c r="AS56" i="6" s="1"/>
  <c r="AO56" i="6"/>
  <c r="AN56" i="6"/>
  <c r="AM56" i="6"/>
  <c r="AL56" i="6"/>
  <c r="AK56" i="6"/>
  <c r="AJ56" i="6"/>
  <c r="AI56" i="6"/>
  <c r="AF56" i="6"/>
  <c r="AE56" i="6"/>
  <c r="AG56" i="6" s="1"/>
  <c r="AB56" i="6"/>
  <c r="AA56" i="6"/>
  <c r="AC56" i="6" s="1"/>
  <c r="W56" i="6"/>
  <c r="Y56" i="6" s="1"/>
  <c r="S56" i="6"/>
  <c r="U56" i="6" s="1"/>
  <c r="Q56" i="6"/>
  <c r="P56" i="6"/>
  <c r="O56" i="6"/>
  <c r="M56" i="6"/>
  <c r="L56" i="6"/>
  <c r="K56" i="6"/>
  <c r="I56" i="6"/>
  <c r="G56" i="6"/>
  <c r="F56" i="6"/>
  <c r="E56" i="6"/>
  <c r="C56" i="6"/>
  <c r="B56" i="6"/>
  <c r="AY55" i="6"/>
  <c r="BA55" i="6" s="1"/>
  <c r="AX55" i="6"/>
  <c r="AW55" i="6"/>
  <c r="AV55" i="6"/>
  <c r="AU55" i="6"/>
  <c r="AR55" i="6"/>
  <c r="AQ55" i="6"/>
  <c r="AS55" i="6" s="1"/>
  <c r="AO55" i="6"/>
  <c r="AN55" i="6"/>
  <c r="AM55" i="6"/>
  <c r="AK55" i="6"/>
  <c r="AJ55" i="6"/>
  <c r="AI55" i="6"/>
  <c r="AE55" i="6"/>
  <c r="AB55" i="6"/>
  <c r="AA55" i="6"/>
  <c r="AC55" i="6" s="1"/>
  <c r="X55" i="6"/>
  <c r="W55" i="6"/>
  <c r="Y55" i="6" s="1"/>
  <c r="U55" i="6"/>
  <c r="T55" i="6"/>
  <c r="S55" i="6"/>
  <c r="O55" i="6"/>
  <c r="M55" i="6"/>
  <c r="L55" i="6"/>
  <c r="K55" i="6"/>
  <c r="K59" i="6" s="1"/>
  <c r="M59" i="6" s="1"/>
  <c r="H55" i="6"/>
  <c r="G55" i="6"/>
  <c r="I55" i="6" s="1"/>
  <c r="D55" i="6"/>
  <c r="C55" i="6"/>
  <c r="E55" i="6" s="1"/>
  <c r="AX54" i="6"/>
  <c r="AW54" i="6"/>
  <c r="AV54" i="6"/>
  <c r="AU54" i="6"/>
  <c r="AR54" i="6"/>
  <c r="AQ54" i="6"/>
  <c r="AS54" i="6" s="1"/>
  <c r="AM54" i="6"/>
  <c r="AO54" i="6" s="1"/>
  <c r="AI54" i="6"/>
  <c r="AH54" i="6"/>
  <c r="AF54" i="6"/>
  <c r="AE54" i="6"/>
  <c r="AG54" i="6" s="1"/>
  <c r="AB54" i="6"/>
  <c r="AA54" i="6"/>
  <c r="AC54" i="6" s="1"/>
  <c r="X54" i="6"/>
  <c r="W54" i="6"/>
  <c r="Y54" i="6" s="1"/>
  <c r="U54" i="6"/>
  <c r="T54" i="6"/>
  <c r="S54" i="6"/>
  <c r="Q54" i="6"/>
  <c r="P54" i="6"/>
  <c r="O54" i="6"/>
  <c r="M54" i="6"/>
  <c r="L54" i="6"/>
  <c r="K54" i="6"/>
  <c r="I54" i="6"/>
  <c r="H54" i="6"/>
  <c r="G54" i="6"/>
  <c r="C54" i="6"/>
  <c r="AU53" i="6"/>
  <c r="AW53" i="6" s="1"/>
  <c r="AS53" i="6"/>
  <c r="AQ53" i="6"/>
  <c r="AP53" i="6"/>
  <c r="AR53" i="6" s="1"/>
  <c r="AN53" i="6"/>
  <c r="AM53" i="6"/>
  <c r="AO53" i="6" s="1"/>
  <c r="AL53" i="6"/>
  <c r="AK53" i="6"/>
  <c r="AI53" i="6"/>
  <c r="AH53" i="6"/>
  <c r="AE53" i="6"/>
  <c r="AD53" i="6"/>
  <c r="AF53" i="6" s="1"/>
  <c r="AA53" i="6"/>
  <c r="Z53" i="6"/>
  <c r="AB53" i="6" s="1"/>
  <c r="W53" i="6"/>
  <c r="V53" i="6"/>
  <c r="X53" i="6" s="1"/>
  <c r="S53" i="6"/>
  <c r="R53" i="6"/>
  <c r="T53" i="6" s="1"/>
  <c r="Q53" i="6"/>
  <c r="O53" i="6"/>
  <c r="P53" i="6" s="1"/>
  <c r="K53" i="6"/>
  <c r="M53" i="6" s="1"/>
  <c r="J53" i="6"/>
  <c r="G53" i="6"/>
  <c r="F53" i="6"/>
  <c r="H53" i="6" s="1"/>
  <c r="C53" i="6"/>
  <c r="B53" i="6"/>
  <c r="AT52" i="6"/>
  <c r="AU51" i="6"/>
  <c r="AW51" i="6" s="1"/>
  <c r="AR51" i="6"/>
  <c r="AQ51" i="6"/>
  <c r="AS51" i="6" s="1"/>
  <c r="AM51" i="6"/>
  <c r="AK51" i="6"/>
  <c r="AI51" i="6"/>
  <c r="AJ51" i="6" s="1"/>
  <c r="AE51" i="6"/>
  <c r="AG51" i="6" s="1"/>
  <c r="AA51" i="6"/>
  <c r="AC51" i="6" s="1"/>
  <c r="Y51" i="6"/>
  <c r="W51" i="6"/>
  <c r="V51" i="6"/>
  <c r="AX51" i="6" s="1"/>
  <c r="U51" i="6"/>
  <c r="T51" i="6"/>
  <c r="S51" i="6"/>
  <c r="Q51" i="6"/>
  <c r="O51" i="6"/>
  <c r="M51" i="6"/>
  <c r="L51" i="6"/>
  <c r="K51" i="6"/>
  <c r="I51" i="6"/>
  <c r="G51" i="6"/>
  <c r="H51" i="6" s="1"/>
  <c r="E51" i="6"/>
  <c r="D51" i="6"/>
  <c r="C51" i="6"/>
  <c r="B51" i="6"/>
  <c r="AU50" i="6"/>
  <c r="AW50" i="6" s="1"/>
  <c r="AT50" i="6"/>
  <c r="AP50" i="6"/>
  <c r="AH50" i="6"/>
  <c r="AA50" i="6"/>
  <c r="J50" i="6"/>
  <c r="G50" i="6"/>
  <c r="C50" i="6"/>
  <c r="AU49" i="6"/>
  <c r="AV49" i="6" s="1"/>
  <c r="AS49" i="6"/>
  <c r="AQ49" i="6"/>
  <c r="AR49" i="6" s="1"/>
  <c r="AM49" i="6"/>
  <c r="AL49" i="6"/>
  <c r="AN49" i="6" s="1"/>
  <c r="AI49" i="6"/>
  <c r="AG49" i="6"/>
  <c r="AF49" i="6"/>
  <c r="AE49" i="6"/>
  <c r="AD49" i="6"/>
  <c r="AA49" i="6"/>
  <c r="W49" i="6"/>
  <c r="V49" i="6"/>
  <c r="Y49" i="6" s="1"/>
  <c r="T49" i="6"/>
  <c r="S49" i="6"/>
  <c r="U49" i="6" s="1"/>
  <c r="O49" i="6"/>
  <c r="P49" i="6" s="1"/>
  <c r="L49" i="6"/>
  <c r="K49" i="6"/>
  <c r="M49" i="6" s="1"/>
  <c r="J49" i="6"/>
  <c r="I49" i="6"/>
  <c r="H49" i="6"/>
  <c r="G49" i="6"/>
  <c r="C49" i="6"/>
  <c r="B49" i="6"/>
  <c r="D49" i="6" s="1"/>
  <c r="AU48" i="6"/>
  <c r="AW48" i="6" s="1"/>
  <c r="AQ48" i="6"/>
  <c r="AM48" i="6"/>
  <c r="AO48" i="6" s="1"/>
  <c r="AL48" i="6"/>
  <c r="AK48" i="6"/>
  <c r="AI48" i="6"/>
  <c r="AH48" i="6"/>
  <c r="AG48" i="6"/>
  <c r="AE48" i="6"/>
  <c r="AD48" i="6"/>
  <c r="AF48" i="6" s="1"/>
  <c r="AA48" i="6"/>
  <c r="Z48" i="6"/>
  <c r="AB48" i="6" s="1"/>
  <c r="Y48" i="6"/>
  <c r="W48" i="6"/>
  <c r="V48" i="6"/>
  <c r="X48" i="6" s="1"/>
  <c r="S48" i="6"/>
  <c r="R48" i="6"/>
  <c r="T48" i="6" s="1"/>
  <c r="O48" i="6"/>
  <c r="Q48" i="6" s="1"/>
  <c r="N48" i="6"/>
  <c r="K48" i="6"/>
  <c r="J48" i="6"/>
  <c r="G48" i="6"/>
  <c r="F48" i="6"/>
  <c r="H48" i="6" s="1"/>
  <c r="D48" i="6"/>
  <c r="C48" i="6"/>
  <c r="B48" i="6"/>
  <c r="AU47" i="6"/>
  <c r="AV47" i="6" s="1"/>
  <c r="AR47" i="6"/>
  <c r="AQ47" i="6"/>
  <c r="AM47" i="6"/>
  <c r="AL47" i="6"/>
  <c r="AL50" i="6" s="1"/>
  <c r="AJ47" i="6"/>
  <c r="AI47" i="6"/>
  <c r="AK47" i="6" s="1"/>
  <c r="AH47" i="6"/>
  <c r="AE47" i="6"/>
  <c r="AD47" i="6"/>
  <c r="AA47" i="6"/>
  <c r="Z47" i="6"/>
  <c r="Y47" i="6"/>
  <c r="X47" i="6"/>
  <c r="W47" i="6"/>
  <c r="V47" i="6"/>
  <c r="S47" i="6"/>
  <c r="R47" i="6"/>
  <c r="R50" i="6" s="1"/>
  <c r="O47" i="6"/>
  <c r="N47" i="6"/>
  <c r="K47" i="6"/>
  <c r="M47" i="6" s="1"/>
  <c r="J47" i="6"/>
  <c r="G47" i="6"/>
  <c r="H47" i="6" s="1"/>
  <c r="F47" i="6"/>
  <c r="C47" i="6"/>
  <c r="B47" i="6"/>
  <c r="BA46" i="6"/>
  <c r="AZ46" i="6"/>
  <c r="AY46" i="6"/>
  <c r="AX46" i="6"/>
  <c r="AW46" i="6"/>
  <c r="AV46" i="6"/>
  <c r="AS46" i="6"/>
  <c r="AR46" i="6"/>
  <c r="AO46" i="6"/>
  <c r="AN46" i="6"/>
  <c r="AK46" i="6"/>
  <c r="AJ46" i="6"/>
  <c r="AG46" i="6"/>
  <c r="AF46" i="6"/>
  <c r="AC46" i="6"/>
  <c r="AB46" i="6"/>
  <c r="Y46" i="6"/>
  <c r="X46" i="6"/>
  <c r="U46" i="6"/>
  <c r="T46" i="6"/>
  <c r="Q46" i="6"/>
  <c r="P46" i="6"/>
  <c r="M46" i="6"/>
  <c r="L46" i="6"/>
  <c r="I46" i="6"/>
  <c r="H46" i="6"/>
  <c r="E46" i="6"/>
  <c r="D46" i="6"/>
  <c r="AU45" i="6"/>
  <c r="AQ45" i="6"/>
  <c r="AP45" i="6"/>
  <c r="AR45" i="6" s="1"/>
  <c r="AO45" i="6"/>
  <c r="AN45" i="6"/>
  <c r="AM45" i="6"/>
  <c r="AK45" i="6"/>
  <c r="AJ45" i="6"/>
  <c r="AI45" i="6"/>
  <c r="AE45" i="6"/>
  <c r="AG45" i="6" s="1"/>
  <c r="AA45" i="6"/>
  <c r="AC45" i="6" s="1"/>
  <c r="Y45" i="6"/>
  <c r="W45" i="6"/>
  <c r="X45" i="6" s="1"/>
  <c r="U45" i="6"/>
  <c r="S45" i="6"/>
  <c r="R45" i="6"/>
  <c r="Q45" i="6"/>
  <c r="O45" i="6"/>
  <c r="N45" i="6"/>
  <c r="K45" i="6"/>
  <c r="J45" i="6"/>
  <c r="AX45" i="6" s="1"/>
  <c r="G45" i="6"/>
  <c r="C45" i="6"/>
  <c r="E45" i="6" s="1"/>
  <c r="AV44" i="6"/>
  <c r="AU44" i="6"/>
  <c r="AW44" i="6" s="1"/>
  <c r="AT44" i="6"/>
  <c r="AQ44" i="6"/>
  <c r="AS44" i="6" s="1"/>
  <c r="AP44" i="6"/>
  <c r="AR44" i="6" s="1"/>
  <c r="AM44" i="6"/>
  <c r="AL44" i="6"/>
  <c r="AN44" i="6" s="1"/>
  <c r="AH44" i="6"/>
  <c r="AD44" i="6"/>
  <c r="AF44" i="6" s="1"/>
  <c r="Z44" i="6"/>
  <c r="W44" i="6"/>
  <c r="Y44" i="6" s="1"/>
  <c r="V44" i="6"/>
  <c r="R44" i="6"/>
  <c r="O44" i="6"/>
  <c r="Q44" i="6" s="1"/>
  <c r="N44" i="6"/>
  <c r="J44" i="6"/>
  <c r="G44" i="6"/>
  <c r="F44" i="6"/>
  <c r="H44" i="6" s="1"/>
  <c r="AV43" i="6"/>
  <c r="AU43" i="6"/>
  <c r="AW43" i="6" s="1"/>
  <c r="AS43" i="6"/>
  <c r="AR43" i="6"/>
  <c r="AQ43" i="6"/>
  <c r="AO43" i="6"/>
  <c r="AN43" i="6"/>
  <c r="AM43" i="6"/>
  <c r="AJ43" i="6"/>
  <c r="AI43" i="6"/>
  <c r="AG43" i="6"/>
  <c r="AE43" i="6"/>
  <c r="AE44" i="6" s="1"/>
  <c r="AC43" i="6"/>
  <c r="AA43" i="6"/>
  <c r="Y43" i="6"/>
  <c r="X43" i="6"/>
  <c r="W43" i="6"/>
  <c r="S43" i="6"/>
  <c r="Q43" i="6"/>
  <c r="P43" i="6"/>
  <c r="O43" i="6"/>
  <c r="K43" i="6"/>
  <c r="I43" i="6"/>
  <c r="H43" i="6"/>
  <c r="G43" i="6"/>
  <c r="C43" i="6"/>
  <c r="B43" i="6"/>
  <c r="AY42" i="6"/>
  <c r="BA42" i="6" s="1"/>
  <c r="AX42" i="6"/>
  <c r="AW42" i="6"/>
  <c r="AV42" i="6"/>
  <c r="AS42" i="6"/>
  <c r="AR42" i="6"/>
  <c r="AO42" i="6"/>
  <c r="AN42" i="6"/>
  <c r="AK42" i="6"/>
  <c r="AJ42" i="6"/>
  <c r="AG42" i="6"/>
  <c r="AF42" i="6"/>
  <c r="AC42" i="6"/>
  <c r="AB42" i="6"/>
  <c r="Y42" i="6"/>
  <c r="X42" i="6"/>
  <c r="U42" i="6"/>
  <c r="T42" i="6"/>
  <c r="Q42" i="6"/>
  <c r="P42" i="6"/>
  <c r="M42" i="6"/>
  <c r="L42" i="6"/>
  <c r="I42" i="6"/>
  <c r="H42" i="6"/>
  <c r="E42" i="6"/>
  <c r="D42" i="6"/>
  <c r="AT41" i="6"/>
  <c r="AI41" i="6"/>
  <c r="AA41" i="6"/>
  <c r="W41" i="6"/>
  <c r="V41" i="6"/>
  <c r="AU40" i="6"/>
  <c r="AQ40" i="6"/>
  <c r="AP40" i="6"/>
  <c r="AR40" i="6" s="1"/>
  <c r="AN40" i="6"/>
  <c r="AM40" i="6"/>
  <c r="AL40" i="6"/>
  <c r="AJ40" i="6"/>
  <c r="AI40" i="6"/>
  <c r="AK40" i="6" s="1"/>
  <c r="AH40" i="6"/>
  <c r="AF40" i="6"/>
  <c r="AE40" i="6"/>
  <c r="AG40" i="6" s="1"/>
  <c r="AD40" i="6"/>
  <c r="AA40" i="6"/>
  <c r="Y40" i="6"/>
  <c r="X40" i="6"/>
  <c r="W40" i="6"/>
  <c r="S40" i="6"/>
  <c r="R40" i="6"/>
  <c r="O40" i="6"/>
  <c r="Q40" i="6" s="1"/>
  <c r="N40" i="6"/>
  <c r="P40" i="6" s="1"/>
  <c r="K40" i="6"/>
  <c r="M40" i="6" s="1"/>
  <c r="G40" i="6"/>
  <c r="C40" i="6"/>
  <c r="B40" i="6"/>
  <c r="AV39" i="6"/>
  <c r="AU39" i="6"/>
  <c r="AW39" i="6" s="1"/>
  <c r="AQ39" i="6"/>
  <c r="AP39" i="6"/>
  <c r="AR39" i="6" s="1"/>
  <c r="AO39" i="6"/>
  <c r="AN39" i="6"/>
  <c r="AM39" i="6"/>
  <c r="AL39" i="6"/>
  <c r="AL41" i="6" s="1"/>
  <c r="AI39" i="6"/>
  <c r="AH39" i="6"/>
  <c r="AE39" i="6"/>
  <c r="AD39" i="6"/>
  <c r="AF39" i="6" s="1"/>
  <c r="AA39" i="6"/>
  <c r="AC39" i="6" s="1"/>
  <c r="Z39" i="6"/>
  <c r="Z41" i="6" s="1"/>
  <c r="W39" i="6"/>
  <c r="V39" i="6"/>
  <c r="X39" i="6" s="1"/>
  <c r="S39" i="6"/>
  <c r="S41" i="6" s="1"/>
  <c r="R39" i="6"/>
  <c r="R41" i="6" s="1"/>
  <c r="R52" i="6" s="1"/>
  <c r="P39" i="6"/>
  <c r="O39" i="6"/>
  <c r="Q39" i="6" s="1"/>
  <c r="N39" i="6"/>
  <c r="L39" i="6"/>
  <c r="K39" i="6"/>
  <c r="M39" i="6" s="1"/>
  <c r="J39" i="6"/>
  <c r="G39" i="6"/>
  <c r="AY39" i="6" s="1"/>
  <c r="F39" i="6"/>
  <c r="C39" i="6"/>
  <c r="B39" i="6"/>
  <c r="AW38" i="6"/>
  <c r="AV38" i="6"/>
  <c r="AU38" i="6"/>
  <c r="AS38" i="6"/>
  <c r="AR38" i="6"/>
  <c r="AQ38" i="6"/>
  <c r="AP38" i="6"/>
  <c r="AO38" i="6"/>
  <c r="AM38" i="6"/>
  <c r="AK38" i="6"/>
  <c r="AJ38" i="6"/>
  <c r="AI38" i="6"/>
  <c r="AH38" i="6"/>
  <c r="AE38" i="6"/>
  <c r="AD38" i="6"/>
  <c r="AF38" i="6" s="1"/>
  <c r="AC38" i="6"/>
  <c r="AB38" i="6"/>
  <c r="AA38" i="6"/>
  <c r="Y38" i="6"/>
  <c r="X38" i="6"/>
  <c r="W38" i="6"/>
  <c r="U38" i="6"/>
  <c r="T38" i="6"/>
  <c r="S38" i="6"/>
  <c r="P38" i="6"/>
  <c r="O38" i="6"/>
  <c r="Q38" i="6" s="1"/>
  <c r="M38" i="6"/>
  <c r="L38" i="6"/>
  <c r="K38" i="6"/>
  <c r="G38" i="6"/>
  <c r="C38" i="6"/>
  <c r="B38" i="6"/>
  <c r="AU37" i="6"/>
  <c r="AS37" i="6"/>
  <c r="AQ37" i="6"/>
  <c r="AP37" i="6"/>
  <c r="AO37" i="6"/>
  <c r="AM37" i="6"/>
  <c r="AL37" i="6"/>
  <c r="AN37" i="6" s="1"/>
  <c r="AI37" i="6"/>
  <c r="AH37" i="6"/>
  <c r="AK37" i="6" s="1"/>
  <c r="AG37" i="6"/>
  <c r="AE37" i="6"/>
  <c r="AD37" i="6"/>
  <c r="AC37" i="6"/>
  <c r="AB37" i="6"/>
  <c r="AA37" i="6"/>
  <c r="Z37" i="6"/>
  <c r="Y37" i="6"/>
  <c r="X37" i="6"/>
  <c r="W37" i="6"/>
  <c r="V37" i="6"/>
  <c r="U37" i="6"/>
  <c r="S37" i="6"/>
  <c r="R37" i="6"/>
  <c r="T37" i="6" s="1"/>
  <c r="O37" i="6"/>
  <c r="N37" i="6"/>
  <c r="P37" i="6" s="1"/>
  <c r="K37" i="6"/>
  <c r="M37" i="6" s="1"/>
  <c r="J37" i="6"/>
  <c r="J41" i="6" s="1"/>
  <c r="G37" i="6"/>
  <c r="F37" i="6"/>
  <c r="H37" i="6" s="1"/>
  <c r="D37" i="6"/>
  <c r="C37" i="6"/>
  <c r="E37" i="6" s="1"/>
  <c r="B37" i="6"/>
  <c r="BA36" i="6"/>
  <c r="AY36" i="6"/>
  <c r="AX36" i="6"/>
  <c r="AZ36" i="6" s="1"/>
  <c r="AW36" i="6"/>
  <c r="AV36" i="6"/>
  <c r="AS36" i="6"/>
  <c r="AR36" i="6"/>
  <c r="AO36" i="6"/>
  <c r="AN36" i="6"/>
  <c r="AK36" i="6"/>
  <c r="AJ36" i="6"/>
  <c r="AG36" i="6"/>
  <c r="AF36" i="6"/>
  <c r="AC36" i="6"/>
  <c r="AB36" i="6"/>
  <c r="Y36" i="6"/>
  <c r="X36" i="6"/>
  <c r="U36" i="6"/>
  <c r="T36" i="6"/>
  <c r="Q36" i="6"/>
  <c r="P36" i="6"/>
  <c r="M36" i="6"/>
  <c r="L36" i="6"/>
  <c r="I36" i="6"/>
  <c r="H36" i="6"/>
  <c r="E36" i="6"/>
  <c r="D36" i="6"/>
  <c r="BA35" i="6"/>
  <c r="AY35" i="6"/>
  <c r="AX35" i="6"/>
  <c r="AZ35" i="6" s="1"/>
  <c r="AW35" i="6"/>
  <c r="AV35" i="6"/>
  <c r="AS35" i="6"/>
  <c r="AR35" i="6"/>
  <c r="AO35" i="6"/>
  <c r="AN35" i="6"/>
  <c r="AK35" i="6"/>
  <c r="AJ35" i="6"/>
  <c r="AG35" i="6"/>
  <c r="AF35" i="6"/>
  <c r="AC35" i="6"/>
  <c r="AB35" i="6"/>
  <c r="Y35" i="6"/>
  <c r="X35" i="6"/>
  <c r="U35" i="6"/>
  <c r="T35" i="6"/>
  <c r="Q35" i="6"/>
  <c r="P35" i="6"/>
  <c r="M35" i="6"/>
  <c r="L35" i="6"/>
  <c r="I35" i="6"/>
  <c r="H35" i="6"/>
  <c r="E35" i="6"/>
  <c r="D35" i="6"/>
  <c r="AW34" i="6"/>
  <c r="AU34" i="6"/>
  <c r="AV34" i="6" s="1"/>
  <c r="AQ34" i="6"/>
  <c r="AP34" i="6"/>
  <c r="AR34" i="6" s="1"/>
  <c r="AO34" i="6"/>
  <c r="AN34" i="6"/>
  <c r="AM34" i="6"/>
  <c r="AI34" i="6"/>
  <c r="AK34" i="6" s="1"/>
  <c r="AH34" i="6"/>
  <c r="AE34" i="6"/>
  <c r="AG34" i="6" s="1"/>
  <c r="AC34" i="6"/>
  <c r="AA34" i="6"/>
  <c r="Z34" i="6"/>
  <c r="AB34" i="6" s="1"/>
  <c r="W34" i="6"/>
  <c r="Y34" i="6" s="1"/>
  <c r="V34" i="6"/>
  <c r="X34" i="6" s="1"/>
  <c r="T34" i="6"/>
  <c r="S34" i="6"/>
  <c r="U34" i="6" s="1"/>
  <c r="O34" i="6"/>
  <c r="AY34" i="6" s="1"/>
  <c r="N34" i="6"/>
  <c r="L34" i="6"/>
  <c r="K34" i="6"/>
  <c r="M34" i="6" s="1"/>
  <c r="I34" i="6"/>
  <c r="H34" i="6"/>
  <c r="G34" i="6"/>
  <c r="C34" i="6"/>
  <c r="E34" i="6" s="1"/>
  <c r="B34" i="6"/>
  <c r="AU33" i="6"/>
  <c r="AQ33" i="6"/>
  <c r="AP33" i="6"/>
  <c r="AR33" i="6" s="1"/>
  <c r="AM33" i="6"/>
  <c r="AO33" i="6" s="1"/>
  <c r="AK33" i="6"/>
  <c r="AI33" i="6"/>
  <c r="AH33" i="6"/>
  <c r="AG33" i="6"/>
  <c r="AE33" i="6"/>
  <c r="AF33" i="6" s="1"/>
  <c r="AB33" i="6"/>
  <c r="AA33" i="6"/>
  <c r="Z33" i="6"/>
  <c r="W33" i="6"/>
  <c r="V33" i="6"/>
  <c r="X33" i="6" s="1"/>
  <c r="T33" i="6"/>
  <c r="S33" i="6"/>
  <c r="U33" i="6" s="1"/>
  <c r="Q33" i="6"/>
  <c r="O33" i="6"/>
  <c r="N33" i="6"/>
  <c r="P33" i="6" s="1"/>
  <c r="K33" i="6"/>
  <c r="L33" i="6" s="1"/>
  <c r="J33" i="6"/>
  <c r="G33" i="6"/>
  <c r="E33" i="6"/>
  <c r="D33" i="6"/>
  <c r="C33" i="6"/>
  <c r="AU32" i="6"/>
  <c r="AV32" i="6" s="1"/>
  <c r="AQ32" i="6"/>
  <c r="AS32" i="6" s="1"/>
  <c r="AO32" i="6"/>
  <c r="AN32" i="6"/>
  <c r="AM32" i="6"/>
  <c r="AL32" i="6"/>
  <c r="AI32" i="6"/>
  <c r="AH32" i="6"/>
  <c r="AJ32" i="6" s="1"/>
  <c r="AG32" i="6"/>
  <c r="AF32" i="6"/>
  <c r="AE32" i="6"/>
  <c r="AD32" i="6"/>
  <c r="AC32" i="6"/>
  <c r="AB32" i="6"/>
  <c r="AA32" i="6"/>
  <c r="Z32" i="6"/>
  <c r="W32" i="6"/>
  <c r="V32" i="6"/>
  <c r="X32" i="6" s="1"/>
  <c r="S32" i="6"/>
  <c r="U32" i="6" s="1"/>
  <c r="R32" i="6"/>
  <c r="O32" i="6"/>
  <c r="Q32" i="6" s="1"/>
  <c r="N32" i="6"/>
  <c r="K32" i="6"/>
  <c r="M32" i="6" s="1"/>
  <c r="J32" i="6"/>
  <c r="G32" i="6"/>
  <c r="F32" i="6"/>
  <c r="C32" i="6"/>
  <c r="B32" i="6"/>
  <c r="AX32" i="6" s="1"/>
  <c r="BA31" i="6"/>
  <c r="AY31" i="6"/>
  <c r="AW31" i="6"/>
  <c r="AV31" i="6"/>
  <c r="AS31" i="6"/>
  <c r="AR31" i="6"/>
  <c r="AO31" i="6"/>
  <c r="AL31" i="6"/>
  <c r="AN31" i="6" s="1"/>
  <c r="AK31" i="6"/>
  <c r="AH31" i="6"/>
  <c r="AJ31" i="6" s="1"/>
  <c r="AG31" i="6"/>
  <c r="AF31" i="6"/>
  <c r="AC31" i="6"/>
  <c r="AB31" i="6"/>
  <c r="Z31" i="6"/>
  <c r="Y31" i="6"/>
  <c r="X31" i="6"/>
  <c r="U31" i="6"/>
  <c r="T31" i="6"/>
  <c r="Q31" i="6"/>
  <c r="P31" i="6"/>
  <c r="M31" i="6"/>
  <c r="L31" i="6"/>
  <c r="I31" i="6"/>
  <c r="H31" i="6"/>
  <c r="E31" i="6"/>
  <c r="D31" i="6"/>
  <c r="B31" i="6"/>
  <c r="AT30" i="6"/>
  <c r="AI30" i="6"/>
  <c r="AE30" i="6"/>
  <c r="AG30" i="6" s="1"/>
  <c r="AD30" i="6"/>
  <c r="AF30" i="6" s="1"/>
  <c r="AA30" i="6"/>
  <c r="AC30" i="6" s="1"/>
  <c r="K30" i="6"/>
  <c r="C30" i="6"/>
  <c r="AW29" i="6"/>
  <c r="AU29" i="6"/>
  <c r="AV29" i="6" s="1"/>
  <c r="AS29" i="6"/>
  <c r="AR29" i="6"/>
  <c r="AQ29" i="6"/>
  <c r="AQ30" i="6" s="1"/>
  <c r="AS30" i="6" s="1"/>
  <c r="AP29" i="6"/>
  <c r="AM29" i="6"/>
  <c r="AL29" i="6"/>
  <c r="AI29" i="6"/>
  <c r="AK29" i="6" s="1"/>
  <c r="AH29" i="6"/>
  <c r="AE29" i="6"/>
  <c r="AD29" i="6"/>
  <c r="AF29" i="6" s="1"/>
  <c r="AC29" i="6"/>
  <c r="AA29" i="6"/>
  <c r="Z29" i="6"/>
  <c r="AB29" i="6" s="1"/>
  <c r="W29" i="6"/>
  <c r="V29" i="6"/>
  <c r="X29" i="6" s="1"/>
  <c r="S29" i="6"/>
  <c r="T29" i="6" s="1"/>
  <c r="R29" i="6"/>
  <c r="R30" i="6" s="1"/>
  <c r="O29" i="6"/>
  <c r="N29" i="6"/>
  <c r="N30" i="6" s="1"/>
  <c r="K29" i="6"/>
  <c r="J29" i="6"/>
  <c r="G29" i="6"/>
  <c r="I29" i="6" s="1"/>
  <c r="F29" i="6"/>
  <c r="D29" i="6"/>
  <c r="C29" i="6"/>
  <c r="B29" i="6"/>
  <c r="AU28" i="6"/>
  <c r="AS28" i="6"/>
  <c r="AQ28" i="6"/>
  <c r="AP28" i="6"/>
  <c r="AP30" i="6" s="1"/>
  <c r="AM28" i="6"/>
  <c r="AL28" i="6"/>
  <c r="AO28" i="6" s="1"/>
  <c r="AK28" i="6"/>
  <c r="AI28" i="6"/>
  <c r="AH28" i="6"/>
  <c r="AJ28" i="6" s="1"/>
  <c r="AE28" i="6"/>
  <c r="AD28" i="6"/>
  <c r="AF28" i="6" s="1"/>
  <c r="AA28" i="6"/>
  <c r="AC28" i="6" s="1"/>
  <c r="Z28" i="6"/>
  <c r="Z30" i="6" s="1"/>
  <c r="AB30" i="6" s="1"/>
  <c r="Y28" i="6"/>
  <c r="W28" i="6"/>
  <c r="V28" i="6"/>
  <c r="X28" i="6" s="1"/>
  <c r="U28" i="6"/>
  <c r="T28" i="6"/>
  <c r="S28" i="6"/>
  <c r="R28" i="6"/>
  <c r="Q28" i="6"/>
  <c r="P28" i="6"/>
  <c r="O28" i="6"/>
  <c r="N28" i="6"/>
  <c r="M28" i="6"/>
  <c r="K28" i="6"/>
  <c r="J28" i="6"/>
  <c r="L28" i="6" s="1"/>
  <c r="G28" i="6"/>
  <c r="F28" i="6"/>
  <c r="F30" i="6" s="1"/>
  <c r="E28" i="6"/>
  <c r="C28" i="6"/>
  <c r="B28" i="6"/>
  <c r="D28" i="6" s="1"/>
  <c r="AY27" i="6"/>
  <c r="BA27" i="6" s="1"/>
  <c r="AW27" i="6"/>
  <c r="AV27" i="6"/>
  <c r="AS27" i="6"/>
  <c r="AR27" i="6"/>
  <c r="AO27" i="6"/>
  <c r="AN27" i="6"/>
  <c r="AK27" i="6"/>
  <c r="AJ27" i="6"/>
  <c r="AH27" i="6"/>
  <c r="AG27" i="6"/>
  <c r="AF27" i="6"/>
  <c r="AC27" i="6"/>
  <c r="AB27" i="6"/>
  <c r="Z27" i="6"/>
  <c r="Y27" i="6"/>
  <c r="V27" i="6"/>
  <c r="U27" i="6"/>
  <c r="T27" i="6"/>
  <c r="Q27" i="6"/>
  <c r="P27" i="6"/>
  <c r="M27" i="6"/>
  <c r="L27" i="6"/>
  <c r="I27" i="6"/>
  <c r="H27" i="6"/>
  <c r="E27" i="6"/>
  <c r="D27" i="6"/>
  <c r="B27" i="6"/>
  <c r="AT26" i="6"/>
  <c r="AE26" i="6"/>
  <c r="V26" i="6"/>
  <c r="R26" i="6"/>
  <c r="AX25" i="6"/>
  <c r="AU25" i="6"/>
  <c r="AW25" i="6" s="1"/>
  <c r="AS25" i="6"/>
  <c r="AR25" i="6"/>
  <c r="AQ25" i="6"/>
  <c r="AO25" i="6"/>
  <c r="AN25" i="6"/>
  <c r="AM25" i="6"/>
  <c r="AL25" i="6"/>
  <c r="AI25" i="6"/>
  <c r="AE25" i="6"/>
  <c r="AD25" i="6"/>
  <c r="AF25" i="6" s="1"/>
  <c r="AC25" i="6"/>
  <c r="AA25" i="6"/>
  <c r="AB25" i="6" s="1"/>
  <c r="X25" i="6"/>
  <c r="W25" i="6"/>
  <c r="Y25" i="6" s="1"/>
  <c r="U25" i="6"/>
  <c r="T25" i="6"/>
  <c r="S25" i="6"/>
  <c r="O25" i="6"/>
  <c r="P25" i="6" s="1"/>
  <c r="K25" i="6"/>
  <c r="M25" i="6" s="1"/>
  <c r="G25" i="6"/>
  <c r="C25" i="6"/>
  <c r="AX24" i="6"/>
  <c r="AW24" i="6"/>
  <c r="AV24" i="6"/>
  <c r="AU24" i="6"/>
  <c r="AQ24" i="6"/>
  <c r="AS24" i="6" s="1"/>
  <c r="AP24" i="6"/>
  <c r="AM24" i="6"/>
  <c r="AO24" i="6" s="1"/>
  <c r="AK24" i="6"/>
  <c r="AJ24" i="6"/>
  <c r="AI24" i="6"/>
  <c r="AF24" i="6"/>
  <c r="AE24" i="6"/>
  <c r="AG24" i="6" s="1"/>
  <c r="AA24" i="6"/>
  <c r="AB24" i="6" s="1"/>
  <c r="W24" i="6"/>
  <c r="X24" i="6" s="1"/>
  <c r="S24" i="6"/>
  <c r="AY24" i="6" s="1"/>
  <c r="BA24" i="6" s="1"/>
  <c r="Q24" i="6"/>
  <c r="P24" i="6"/>
  <c r="O24" i="6"/>
  <c r="K24" i="6"/>
  <c r="H24" i="6"/>
  <c r="G24" i="6"/>
  <c r="I24" i="6" s="1"/>
  <c r="C24" i="6"/>
  <c r="AW23" i="6"/>
  <c r="AV23" i="6"/>
  <c r="AU23" i="6"/>
  <c r="AR23" i="6"/>
  <c r="AQ23" i="6"/>
  <c r="AQ26" i="6" s="1"/>
  <c r="AP23" i="6"/>
  <c r="AM23" i="6"/>
  <c r="AL23" i="6"/>
  <c r="AN23" i="6" s="1"/>
  <c r="AK23" i="6"/>
  <c r="AI23" i="6"/>
  <c r="AH23" i="6"/>
  <c r="AJ23" i="6" s="1"/>
  <c r="AE23" i="6"/>
  <c r="AG23" i="6" s="1"/>
  <c r="AD23" i="6"/>
  <c r="AF23" i="6" s="1"/>
  <c r="AA23" i="6"/>
  <c r="Z23" i="6"/>
  <c r="Z26" i="6" s="1"/>
  <c r="Y23" i="6"/>
  <c r="X23" i="6"/>
  <c r="W23" i="6"/>
  <c r="V23" i="6"/>
  <c r="S23" i="6"/>
  <c r="R23" i="6"/>
  <c r="T23" i="6" s="1"/>
  <c r="O23" i="6"/>
  <c r="N23" i="6"/>
  <c r="M23" i="6"/>
  <c r="L23" i="6"/>
  <c r="K23" i="6"/>
  <c r="J23" i="6"/>
  <c r="G23" i="6"/>
  <c r="F23" i="6"/>
  <c r="H23" i="6" s="1"/>
  <c r="C23" i="6"/>
  <c r="B23" i="6"/>
  <c r="AY22" i="6"/>
  <c r="BA22" i="6" s="1"/>
  <c r="AW22" i="6"/>
  <c r="AV22" i="6"/>
  <c r="AS22" i="6"/>
  <c r="AP22" i="6"/>
  <c r="AO22" i="6"/>
  <c r="AL22" i="6"/>
  <c r="AL26" i="6" s="1"/>
  <c r="AK22" i="6"/>
  <c r="AH22" i="6"/>
  <c r="AG22" i="6"/>
  <c r="AD22" i="6"/>
  <c r="AC22" i="6"/>
  <c r="Z22" i="6"/>
  <c r="AB22" i="6" s="1"/>
  <c r="Y22" i="6"/>
  <c r="V22" i="6"/>
  <c r="X22" i="6" s="1"/>
  <c r="U22" i="6"/>
  <c r="T22" i="6"/>
  <c r="R22" i="6"/>
  <c r="Q22" i="6"/>
  <c r="N22" i="6"/>
  <c r="N26" i="6" s="1"/>
  <c r="M22" i="6"/>
  <c r="L22" i="6"/>
  <c r="J22" i="6"/>
  <c r="J26" i="6" s="1"/>
  <c r="I22" i="6"/>
  <c r="F22" i="6"/>
  <c r="E22" i="6"/>
  <c r="B22" i="6"/>
  <c r="B26" i="6" s="1"/>
  <c r="AY21" i="6"/>
  <c r="BA21" i="6" s="1"/>
  <c r="AX21" i="6"/>
  <c r="AZ21" i="6" s="1"/>
  <c r="AW21" i="6"/>
  <c r="AV21" i="6"/>
  <c r="AS21" i="6"/>
  <c r="AR21" i="6"/>
  <c r="AO21" i="6"/>
  <c r="AN21" i="6"/>
  <c r="AK21" i="6"/>
  <c r="AJ21" i="6"/>
  <c r="AG21" i="6"/>
  <c r="AF21" i="6"/>
  <c r="AC21" i="6"/>
  <c r="AB21" i="6"/>
  <c r="Y21" i="6"/>
  <c r="X21" i="6"/>
  <c r="U21" i="6"/>
  <c r="T21" i="6"/>
  <c r="Q21" i="6"/>
  <c r="P21" i="6"/>
  <c r="M21" i="6"/>
  <c r="L21" i="6"/>
  <c r="I21" i="6"/>
  <c r="H21" i="6"/>
  <c r="E21" i="6"/>
  <c r="D21" i="6"/>
  <c r="AP19" i="6"/>
  <c r="AT18" i="6"/>
  <c r="S18" i="6"/>
  <c r="AU17" i="6"/>
  <c r="AV17" i="6" s="1"/>
  <c r="AS17" i="6"/>
  <c r="AQ17" i="6"/>
  <c r="AR17" i="6" s="1"/>
  <c r="AM17" i="6"/>
  <c r="AL17" i="6"/>
  <c r="AN17" i="6" s="1"/>
  <c r="AI17" i="6"/>
  <c r="AH17" i="6"/>
  <c r="AG17" i="6"/>
  <c r="AF17" i="6"/>
  <c r="AE17" i="6"/>
  <c r="AD17" i="6"/>
  <c r="AA17" i="6"/>
  <c r="Z17" i="6"/>
  <c r="AB17" i="6" s="1"/>
  <c r="Y17" i="6"/>
  <c r="X17" i="6"/>
  <c r="W17" i="6"/>
  <c r="V17" i="6"/>
  <c r="U17" i="6"/>
  <c r="T17" i="6"/>
  <c r="S17" i="6"/>
  <c r="R17" i="6"/>
  <c r="O17" i="6"/>
  <c r="Q17" i="6" s="1"/>
  <c r="N17" i="6"/>
  <c r="M17" i="6"/>
  <c r="L17" i="6"/>
  <c r="K17" i="6"/>
  <c r="J17" i="6"/>
  <c r="G17" i="6"/>
  <c r="F17" i="6"/>
  <c r="E17" i="6"/>
  <c r="D17" i="6"/>
  <c r="C17" i="6"/>
  <c r="B17" i="6"/>
  <c r="AV16" i="6"/>
  <c r="AU16" i="6"/>
  <c r="AW16" i="6" s="1"/>
  <c r="AR16" i="6"/>
  <c r="AQ16" i="6"/>
  <c r="AS16" i="6" s="1"/>
  <c r="AM16" i="6"/>
  <c r="AL16" i="6"/>
  <c r="AN16" i="6" s="1"/>
  <c r="AI16" i="6"/>
  <c r="AH16" i="6"/>
  <c r="AE16" i="6"/>
  <c r="AD16" i="6"/>
  <c r="AF16" i="6" s="1"/>
  <c r="AC16" i="6"/>
  <c r="AB16" i="6"/>
  <c r="AA16" i="6"/>
  <c r="Z16" i="6"/>
  <c r="W16" i="6"/>
  <c r="Y16" i="6" s="1"/>
  <c r="V16" i="6"/>
  <c r="U16" i="6"/>
  <c r="T16" i="6"/>
  <c r="S16" i="6"/>
  <c r="R16" i="6"/>
  <c r="O16" i="6"/>
  <c r="N16" i="6"/>
  <c r="K16" i="6"/>
  <c r="J16" i="6"/>
  <c r="L16" i="6" s="1"/>
  <c r="G16" i="6"/>
  <c r="F16" i="6"/>
  <c r="C16" i="6"/>
  <c r="E16" i="6" s="1"/>
  <c r="B16" i="6"/>
  <c r="AU15" i="6"/>
  <c r="AS15" i="6"/>
  <c r="AQ15" i="6"/>
  <c r="AR15" i="6" s="1"/>
  <c r="AM15" i="6"/>
  <c r="AO15" i="6" s="1"/>
  <c r="AL15" i="6"/>
  <c r="AI15" i="6"/>
  <c r="AH15" i="6"/>
  <c r="AJ15" i="6" s="1"/>
  <c r="AF15" i="6"/>
  <c r="AE15" i="6"/>
  <c r="AG15" i="6" s="1"/>
  <c r="AD15" i="6"/>
  <c r="AA15" i="6"/>
  <c r="AC15" i="6" s="1"/>
  <c r="Z15" i="6"/>
  <c r="Y15" i="6"/>
  <c r="X15" i="6"/>
  <c r="W15" i="6"/>
  <c r="V15" i="6"/>
  <c r="T15" i="6"/>
  <c r="S15" i="6"/>
  <c r="U15" i="6" s="1"/>
  <c r="R15" i="6"/>
  <c r="O15" i="6"/>
  <c r="N15" i="6"/>
  <c r="K15" i="6"/>
  <c r="J15" i="6"/>
  <c r="G15" i="6"/>
  <c r="F15" i="6"/>
  <c r="E15" i="6"/>
  <c r="D15" i="6"/>
  <c r="C15" i="6"/>
  <c r="B15" i="6"/>
  <c r="AW14" i="6"/>
  <c r="AV14" i="6"/>
  <c r="AU14" i="6"/>
  <c r="AQ14" i="6"/>
  <c r="AM14" i="6"/>
  <c r="AL14" i="6"/>
  <c r="AO14" i="6" s="1"/>
  <c r="AI14" i="6"/>
  <c r="AH14" i="6"/>
  <c r="AJ14" i="6" s="1"/>
  <c r="AE14" i="6"/>
  <c r="AD14" i="6"/>
  <c r="AF14" i="6" s="1"/>
  <c r="AA14" i="6"/>
  <c r="Z14" i="6"/>
  <c r="AC14" i="6" s="1"/>
  <c r="W14" i="6"/>
  <c r="Y14" i="6" s="1"/>
  <c r="V14" i="6"/>
  <c r="X14" i="6" s="1"/>
  <c r="S14" i="6"/>
  <c r="U14" i="6" s="1"/>
  <c r="R14" i="6"/>
  <c r="O14" i="6"/>
  <c r="Q14" i="6" s="1"/>
  <c r="N14" i="6"/>
  <c r="K14" i="6"/>
  <c r="G14" i="6"/>
  <c r="F14" i="6"/>
  <c r="H14" i="6" s="1"/>
  <c r="C14" i="6"/>
  <c r="B14" i="6"/>
  <c r="D14" i="6" s="1"/>
  <c r="AU13" i="6"/>
  <c r="AS13" i="6"/>
  <c r="AR13" i="6"/>
  <c r="AQ13" i="6"/>
  <c r="AM13" i="6"/>
  <c r="AL13" i="6"/>
  <c r="AN13" i="6" s="1"/>
  <c r="AI13" i="6"/>
  <c r="AK13" i="6" s="1"/>
  <c r="AH13" i="6"/>
  <c r="AG13" i="6"/>
  <c r="AF13" i="6"/>
  <c r="AE13" i="6"/>
  <c r="AA13" i="6"/>
  <c r="AC13" i="6" s="1"/>
  <c r="Z13" i="6"/>
  <c r="Y13" i="6"/>
  <c r="X13" i="6"/>
  <c r="W13" i="6"/>
  <c r="V13" i="6"/>
  <c r="S13" i="6"/>
  <c r="R13" i="6"/>
  <c r="T13" i="6" s="1"/>
  <c r="O13" i="6"/>
  <c r="Q13" i="6" s="1"/>
  <c r="N13" i="6"/>
  <c r="K13" i="6"/>
  <c r="M13" i="6" s="1"/>
  <c r="G13" i="6"/>
  <c r="F13" i="6"/>
  <c r="C13" i="6"/>
  <c r="B13" i="6"/>
  <c r="AX13" i="6" s="1"/>
  <c r="AT12" i="6"/>
  <c r="AP12" i="6"/>
  <c r="AP18" i="6" s="1"/>
  <c r="AL12" i="6"/>
  <c r="AI12" i="6"/>
  <c r="AH12" i="6"/>
  <c r="AD12" i="6"/>
  <c r="Z12" i="6"/>
  <c r="Z18" i="6" s="1"/>
  <c r="V12" i="6"/>
  <c r="G12" i="6"/>
  <c r="F12" i="6"/>
  <c r="AY11" i="6"/>
  <c r="BA11" i="6" s="1"/>
  <c r="AW11" i="6"/>
  <c r="AV11" i="6"/>
  <c r="AS11" i="6"/>
  <c r="AR11" i="6"/>
  <c r="AO11" i="6"/>
  <c r="AN11" i="6"/>
  <c r="AK11" i="6"/>
  <c r="AJ11" i="6"/>
  <c r="AG11" i="6"/>
  <c r="AF11" i="6"/>
  <c r="AC11" i="6"/>
  <c r="AB11" i="6"/>
  <c r="Y11" i="6"/>
  <c r="X11" i="6"/>
  <c r="V11" i="6"/>
  <c r="U11" i="6"/>
  <c r="R11" i="6"/>
  <c r="T11" i="6" s="1"/>
  <c r="Q11" i="6"/>
  <c r="N11" i="6"/>
  <c r="N12" i="6" s="1"/>
  <c r="N18" i="6" s="1"/>
  <c r="M11" i="6"/>
  <c r="L11" i="6"/>
  <c r="I11" i="6"/>
  <c r="H11" i="6"/>
  <c r="F11" i="6"/>
  <c r="E11" i="6"/>
  <c r="B11" i="6"/>
  <c r="B12" i="6" s="1"/>
  <c r="AW10" i="6"/>
  <c r="AV10" i="6"/>
  <c r="AU10" i="6"/>
  <c r="AR10" i="6"/>
  <c r="AQ10" i="6"/>
  <c r="AS10" i="6" s="1"/>
  <c r="AM10" i="6"/>
  <c r="AO10" i="6" s="1"/>
  <c r="AK10" i="6"/>
  <c r="AJ10" i="6"/>
  <c r="AI10" i="6"/>
  <c r="AE10" i="6"/>
  <c r="AC10" i="6"/>
  <c r="AB10" i="6"/>
  <c r="AA10" i="6"/>
  <c r="W10" i="6"/>
  <c r="X10" i="6" s="1"/>
  <c r="U10" i="6"/>
  <c r="T10" i="6"/>
  <c r="S10" i="6"/>
  <c r="O10" i="6"/>
  <c r="K10" i="6"/>
  <c r="J10" i="6"/>
  <c r="I10" i="6"/>
  <c r="G10" i="6"/>
  <c r="H10" i="6" s="1"/>
  <c r="C10" i="6"/>
  <c r="AY9" i="6"/>
  <c r="BA9" i="6" s="1"/>
  <c r="AX9" i="6"/>
  <c r="AU9" i="6"/>
  <c r="AU12" i="6" s="1"/>
  <c r="AS9" i="6"/>
  <c r="AR9" i="6"/>
  <c r="AQ9" i="6"/>
  <c r="AO9" i="6"/>
  <c r="AM9" i="6"/>
  <c r="AN9" i="6" s="1"/>
  <c r="AK9" i="6"/>
  <c r="AJ9" i="6"/>
  <c r="AI9" i="6"/>
  <c r="AF9" i="6"/>
  <c r="AE9" i="6"/>
  <c r="AE12" i="6" s="1"/>
  <c r="AC9" i="6"/>
  <c r="AB9" i="6"/>
  <c r="AA9" i="6"/>
  <c r="W9" i="6"/>
  <c r="X9" i="6" s="1"/>
  <c r="U9" i="6"/>
  <c r="S9" i="6"/>
  <c r="S12" i="6" s="1"/>
  <c r="O9" i="6"/>
  <c r="M9" i="6"/>
  <c r="L9" i="6"/>
  <c r="K9" i="6"/>
  <c r="I9" i="6"/>
  <c r="G9" i="6"/>
  <c r="H9" i="6" s="1"/>
  <c r="C9" i="6"/>
  <c r="E9" i="6" s="1"/>
  <c r="AZ8" i="6"/>
  <c r="AY8" i="6"/>
  <c r="BA8" i="6" s="1"/>
  <c r="AX8" i="6"/>
  <c r="AW8" i="6"/>
  <c r="AV8" i="6"/>
  <c r="AS8" i="6"/>
  <c r="AR8" i="6"/>
  <c r="AO8" i="6"/>
  <c r="AN8" i="6"/>
  <c r="AK8" i="6"/>
  <c r="AJ8" i="6"/>
  <c r="AG8" i="6"/>
  <c r="AF8" i="6"/>
  <c r="AC8" i="6"/>
  <c r="AB8" i="6"/>
  <c r="Y8" i="6"/>
  <c r="X8" i="6"/>
  <c r="U8" i="6"/>
  <c r="T8" i="6"/>
  <c r="Q8" i="6"/>
  <c r="P8" i="6"/>
  <c r="M8" i="6"/>
  <c r="L8" i="6"/>
  <c r="I8" i="6"/>
  <c r="H8" i="6"/>
  <c r="E8" i="6"/>
  <c r="D8" i="6"/>
  <c r="F7" i="9" l="1"/>
  <c r="F8" i="9" s="1"/>
  <c r="F16" i="9" s="1"/>
  <c r="F19" i="9" s="1"/>
  <c r="N19" i="6"/>
  <c r="AZ24" i="6"/>
  <c r="P26" i="6"/>
  <c r="L29" i="6"/>
  <c r="J30" i="6"/>
  <c r="L30" i="6" s="1"/>
  <c r="AY10" i="6"/>
  <c r="BA10" i="6" s="1"/>
  <c r="C12" i="6"/>
  <c r="AB47" i="6"/>
  <c r="Z50" i="6"/>
  <c r="AB50" i="6" s="1"/>
  <c r="AW64" i="6"/>
  <c r="AU71" i="6"/>
  <c r="AV64" i="6"/>
  <c r="AR79" i="6"/>
  <c r="P30" i="6"/>
  <c r="AX43" i="6"/>
  <c r="AZ43" i="6" s="1"/>
  <c r="D43" i="6"/>
  <c r="B44" i="6"/>
  <c r="AF75" i="6"/>
  <c r="AC47" i="6"/>
  <c r="U53" i="6"/>
  <c r="AX16" i="6"/>
  <c r="T30" i="6"/>
  <c r="I40" i="6"/>
  <c r="H40" i="6"/>
  <c r="AD50" i="6"/>
  <c r="AF50" i="6" s="1"/>
  <c r="AF47" i="6"/>
  <c r="AK54" i="6"/>
  <c r="AJ54" i="6"/>
  <c r="AK75" i="6"/>
  <c r="AJ75" i="6"/>
  <c r="AY16" i="6"/>
  <c r="BA16" i="6" s="1"/>
  <c r="AQ41" i="6"/>
  <c r="AS40" i="6"/>
  <c r="AX47" i="6"/>
  <c r="AZ47" i="6" s="1"/>
  <c r="L10" i="6"/>
  <c r="J12" i="6"/>
  <c r="AX10" i="6"/>
  <c r="AF12" i="6"/>
  <c r="AD18" i="6"/>
  <c r="H16" i="6"/>
  <c r="AO23" i="6"/>
  <c r="AM26" i="6"/>
  <c r="U29" i="6"/>
  <c r="H32" i="6"/>
  <c r="I32" i="6"/>
  <c r="AX34" i="6"/>
  <c r="AZ34" i="6" s="1"/>
  <c r="L40" i="6"/>
  <c r="AW40" i="6"/>
  <c r="AV40" i="6"/>
  <c r="AF45" i="6"/>
  <c r="Y53" i="6"/>
  <c r="I59" i="6"/>
  <c r="AO73" i="6"/>
  <c r="AN73" i="6"/>
  <c r="AZ98" i="6"/>
  <c r="AY14" i="6"/>
  <c r="BA14" i="6" s="1"/>
  <c r="I14" i="6"/>
  <c r="I16" i="6"/>
  <c r="AB39" i="6"/>
  <c r="T41" i="6"/>
  <c r="D47" i="6"/>
  <c r="AV62" i="6"/>
  <c r="AW62" i="6"/>
  <c r="AV93" i="6"/>
  <c r="AW93" i="6"/>
  <c r="S79" i="6"/>
  <c r="U79" i="6" s="1"/>
  <c r="U76" i="6"/>
  <c r="AN10" i="6"/>
  <c r="T24" i="6"/>
  <c r="AV50" i="6"/>
  <c r="D10" i="6"/>
  <c r="AK14" i="6"/>
  <c r="O71" i="6"/>
  <c r="Q71" i="6" s="1"/>
  <c r="Q64" i="6"/>
  <c r="E10" i="6"/>
  <c r="E14" i="6"/>
  <c r="AX14" i="6"/>
  <c r="AS74" i="6"/>
  <c r="AJ16" i="6"/>
  <c r="AK16" i="6"/>
  <c r="AW74" i="6"/>
  <c r="AV74" i="6"/>
  <c r="AS26" i="6"/>
  <c r="P34" i="6"/>
  <c r="V52" i="6"/>
  <c r="E47" i="6"/>
  <c r="AX62" i="6"/>
  <c r="AZ62" i="6" s="1"/>
  <c r="P62" i="6"/>
  <c r="AX96" i="6"/>
  <c r="AZ96" i="6" s="1"/>
  <c r="F99" i="6"/>
  <c r="H99" i="6" s="1"/>
  <c r="AL18" i="6"/>
  <c r="AF22" i="6"/>
  <c r="AD26" i="6"/>
  <c r="Q34" i="6"/>
  <c r="AX40" i="6"/>
  <c r="U40" i="6"/>
  <c r="T40" i="6"/>
  <c r="AX49" i="6"/>
  <c r="AZ49" i="6" s="1"/>
  <c r="AL52" i="6"/>
  <c r="T59" i="6"/>
  <c r="AG83" i="6"/>
  <c r="AE85" i="6"/>
  <c r="AG85" i="6" s="1"/>
  <c r="AY83" i="6"/>
  <c r="BA83" i="6" s="1"/>
  <c r="AF83" i="6"/>
  <c r="X93" i="6"/>
  <c r="P15" i="6"/>
  <c r="Q15" i="6"/>
  <c r="M48" i="6"/>
  <c r="K50" i="6"/>
  <c r="M50" i="6" s="1"/>
  <c r="M64" i="6"/>
  <c r="AY64" i="6"/>
  <c r="BA64" i="6" s="1"/>
  <c r="V18" i="6"/>
  <c r="E25" i="6"/>
  <c r="D25" i="6"/>
  <c r="AY25" i="6"/>
  <c r="U24" i="6"/>
  <c r="P64" i="6"/>
  <c r="U97" i="6"/>
  <c r="S99" i="6"/>
  <c r="U99" i="6" s="1"/>
  <c r="U74" i="6"/>
  <c r="AJ98" i="6"/>
  <c r="AN14" i="6"/>
  <c r="M30" i="6"/>
  <c r="M72" i="6"/>
  <c r="L72" i="6"/>
  <c r="AC97" i="6"/>
  <c r="AB97" i="6"/>
  <c r="AB13" i="6"/>
  <c r="O26" i="6"/>
  <c r="AY23" i="6"/>
  <c r="P23" i="6"/>
  <c r="AR37" i="6"/>
  <c r="AP41" i="6"/>
  <c r="D39" i="6"/>
  <c r="AX39" i="6"/>
  <c r="AZ39" i="6" s="1"/>
  <c r="AG39" i="6"/>
  <c r="X41" i="6"/>
  <c r="AY60" i="6"/>
  <c r="BA60" i="6" s="1"/>
  <c r="U60" i="6"/>
  <c r="T60" i="6"/>
  <c r="AX61" i="6"/>
  <c r="AZ61" i="6" s="1"/>
  <c r="D61" i="6"/>
  <c r="H96" i="6"/>
  <c r="AR48" i="6"/>
  <c r="AS48" i="6"/>
  <c r="AO17" i="6"/>
  <c r="M29" i="6"/>
  <c r="L48" i="6"/>
  <c r="AV53" i="6"/>
  <c r="T76" i="6"/>
  <c r="E40" i="6"/>
  <c r="AY40" i="6"/>
  <c r="BA40" i="6" s="1"/>
  <c r="AY53" i="6"/>
  <c r="P74" i="6"/>
  <c r="W12" i="6"/>
  <c r="Y9" i="6"/>
  <c r="AG16" i="6"/>
  <c r="Q29" i="6"/>
  <c r="P29" i="6"/>
  <c r="O30" i="6"/>
  <c r="Q30" i="6" s="1"/>
  <c r="AO51" i="6"/>
  <c r="AN51" i="6"/>
  <c r="AG75" i="6"/>
  <c r="Y24" i="6"/>
  <c r="D54" i="6"/>
  <c r="AY54" i="6"/>
  <c r="E54" i="6"/>
  <c r="T97" i="6"/>
  <c r="AI18" i="6"/>
  <c r="AJ12" i="6"/>
  <c r="AK12" i="6"/>
  <c r="W26" i="6"/>
  <c r="AN28" i="6"/>
  <c r="AL30" i="6"/>
  <c r="AK96" i="6"/>
  <c r="AJ96" i="6"/>
  <c r="Q16" i="6"/>
  <c r="P16" i="6"/>
  <c r="S19" i="6"/>
  <c r="Q23" i="6"/>
  <c r="AJ33" i="6"/>
  <c r="E39" i="6"/>
  <c r="AJ39" i="6"/>
  <c r="AK39" i="6"/>
  <c r="AH41" i="6"/>
  <c r="Y41" i="6"/>
  <c r="Q49" i="6"/>
  <c r="B50" i="6"/>
  <c r="W59" i="6"/>
  <c r="AY61" i="6"/>
  <c r="E61" i="6"/>
  <c r="Y82" i="6"/>
  <c r="X82" i="6"/>
  <c r="AF92" i="6"/>
  <c r="AG92" i="6"/>
  <c r="AK30" i="6"/>
  <c r="H39" i="6"/>
  <c r="AA52" i="6"/>
  <c r="AC52" i="6" s="1"/>
  <c r="AC41" i="6"/>
  <c r="E50" i="6"/>
  <c r="AZ56" i="6"/>
  <c r="AV37" i="6"/>
  <c r="AW37" i="6"/>
  <c r="AU41" i="6"/>
  <c r="BA39" i="6"/>
  <c r="AK41" i="6"/>
  <c r="I45" i="6"/>
  <c r="AY45" i="6"/>
  <c r="BA45" i="6" s="1"/>
  <c r="H45" i="6"/>
  <c r="BA69" i="6"/>
  <c r="K71" i="6"/>
  <c r="D40" i="6"/>
  <c r="E13" i="6"/>
  <c r="AY13" i="6"/>
  <c r="BA13" i="6" s="1"/>
  <c r="AN22" i="6"/>
  <c r="AK25" i="6"/>
  <c r="AJ25" i="6"/>
  <c r="AU30" i="6"/>
  <c r="AW30" i="6" s="1"/>
  <c r="AV28" i="6"/>
  <c r="AW28" i="6"/>
  <c r="I39" i="6"/>
  <c r="AZ45" i="6"/>
  <c r="AC59" i="6"/>
  <c r="Y90" i="6"/>
  <c r="AY43" i="6"/>
  <c r="E43" i="6"/>
  <c r="C44" i="6"/>
  <c r="AO88" i="6"/>
  <c r="AM93" i="6"/>
  <c r="AO93" i="6" s="1"/>
  <c r="E92" i="6"/>
  <c r="AY92" i="6"/>
  <c r="P12" i="6"/>
  <c r="AX11" i="6"/>
  <c r="AZ11" i="6" s="1"/>
  <c r="D13" i="6"/>
  <c r="AH18" i="6"/>
  <c r="I15" i="6"/>
  <c r="AY15" i="6"/>
  <c r="AT19" i="6"/>
  <c r="F26" i="6"/>
  <c r="H22" i="6"/>
  <c r="AX22" i="6"/>
  <c r="AZ22" i="6" s="1"/>
  <c r="I33" i="6"/>
  <c r="H33" i="6"/>
  <c r="AY33" i="6"/>
  <c r="BA33" i="6" s="1"/>
  <c r="AN33" i="6"/>
  <c r="X56" i="6"/>
  <c r="P11" i="6"/>
  <c r="F18" i="6"/>
  <c r="H13" i="6"/>
  <c r="H15" i="6"/>
  <c r="AK15" i="6"/>
  <c r="H17" i="6"/>
  <c r="AX17" i="6"/>
  <c r="AZ17" i="6" s="1"/>
  <c r="AP26" i="6"/>
  <c r="AR22" i="6"/>
  <c r="AN88" i="6"/>
  <c r="Z19" i="6"/>
  <c r="AX15" i="6"/>
  <c r="AZ15" i="6" s="1"/>
  <c r="I17" i="6"/>
  <c r="AY17" i="6"/>
  <c r="AN29" i="6"/>
  <c r="AO29" i="6"/>
  <c r="AM30" i="6"/>
  <c r="AO30" i="6" s="1"/>
  <c r="AY38" i="6"/>
  <c r="BA38" i="6" s="1"/>
  <c r="E38" i="6"/>
  <c r="X49" i="6"/>
  <c r="AF65" i="6"/>
  <c r="AD71" i="6"/>
  <c r="AF71" i="6" s="1"/>
  <c r="AL71" i="6"/>
  <c r="AN71" i="6" s="1"/>
  <c r="AO67" i="6"/>
  <c r="Q70" i="6"/>
  <c r="P70" i="6"/>
  <c r="I13" i="6"/>
  <c r="M15" i="6"/>
  <c r="M33" i="6"/>
  <c r="X44" i="6"/>
  <c r="AS71" i="6"/>
  <c r="AR71" i="6"/>
  <c r="AK71" i="6"/>
  <c r="AK79" i="6"/>
  <c r="AN89" i="6"/>
  <c r="AO89" i="6"/>
  <c r="AZ9" i="6"/>
  <c r="AG14" i="6"/>
  <c r="L15" i="6"/>
  <c r="AK17" i="6"/>
  <c r="AJ17" i="6"/>
  <c r="AZ42" i="6"/>
  <c r="AK43" i="6"/>
  <c r="AI44" i="6"/>
  <c r="AN48" i="6"/>
  <c r="O59" i="6"/>
  <c r="Q55" i="6"/>
  <c r="P55" i="6"/>
  <c r="AZ55" i="6"/>
  <c r="AR64" i="6"/>
  <c r="AG65" i="6"/>
  <c r="AN67" i="6"/>
  <c r="AK77" i="6"/>
  <c r="P79" i="6"/>
  <c r="E86" i="6"/>
  <c r="AY86" i="6"/>
  <c r="BA86" i="6" s="1"/>
  <c r="AE18" i="6"/>
  <c r="AG12" i="6"/>
  <c r="I25" i="6"/>
  <c r="H25" i="6"/>
  <c r="AY32" i="6"/>
  <c r="BA32" i="6" s="1"/>
  <c r="E32" i="6"/>
  <c r="B41" i="6"/>
  <c r="AX38" i="6"/>
  <c r="AG38" i="6"/>
  <c r="P48" i="6"/>
  <c r="N50" i="6"/>
  <c r="P50" i="6" s="1"/>
  <c r="AX48" i="6"/>
  <c r="L50" i="6"/>
  <c r="L73" i="6"/>
  <c r="AX73" i="6"/>
  <c r="AS81" i="6"/>
  <c r="AR81" i="6"/>
  <c r="AQ85" i="6"/>
  <c r="AS85" i="6" s="1"/>
  <c r="AO16" i="6"/>
  <c r="E30" i="6"/>
  <c r="L45" i="6"/>
  <c r="L86" i="6"/>
  <c r="T88" i="6"/>
  <c r="AX89" i="6"/>
  <c r="L89" i="6"/>
  <c r="M92" i="6"/>
  <c r="L92" i="6"/>
  <c r="Q98" i="6"/>
  <c r="P98" i="6"/>
  <c r="O99" i="6"/>
  <c r="AG9" i="6"/>
  <c r="AS23" i="6"/>
  <c r="Q10" i="6"/>
  <c r="P10" i="6"/>
  <c r="G18" i="6"/>
  <c r="L13" i="6"/>
  <c r="AS14" i="6"/>
  <c r="AR14" i="6"/>
  <c r="AN15" i="6"/>
  <c r="P17" i="6"/>
  <c r="AC24" i="6"/>
  <c r="Q25" i="6"/>
  <c r="AV25" i="6"/>
  <c r="AG26" i="6"/>
  <c r="Y29" i="6"/>
  <c r="W30" i="6"/>
  <c r="AW33" i="6"/>
  <c r="AV33" i="6"/>
  <c r="G41" i="6"/>
  <c r="AY37" i="6"/>
  <c r="AD41" i="6"/>
  <c r="AC53" i="6"/>
  <c r="AY73" i="6"/>
  <c r="BA73" i="6" s="1"/>
  <c r="I85" i="6"/>
  <c r="D9" i="6"/>
  <c r="H12" i="6"/>
  <c r="P14" i="6"/>
  <c r="P22" i="6"/>
  <c r="AX28" i="6"/>
  <c r="AZ28" i="6" s="1"/>
  <c r="G30" i="6"/>
  <c r="I30" i="6" s="1"/>
  <c r="L32" i="6"/>
  <c r="AX33" i="6"/>
  <c r="AE41" i="6"/>
  <c r="I38" i="6"/>
  <c r="H38" i="6"/>
  <c r="M45" i="6"/>
  <c r="AS45" i="6"/>
  <c r="AN47" i="6"/>
  <c r="U48" i="6"/>
  <c r="AV48" i="6"/>
  <c r="AV51" i="6"/>
  <c r="AR65" i="6"/>
  <c r="Q73" i="6"/>
  <c r="U77" i="6"/>
  <c r="T77" i="6"/>
  <c r="AG78" i="6"/>
  <c r="J85" i="6"/>
  <c r="M89" i="6"/>
  <c r="AW89" i="6"/>
  <c r="AV89" i="6"/>
  <c r="T98" i="6"/>
  <c r="R99" i="6"/>
  <c r="AJ13" i="6"/>
  <c r="F41" i="6"/>
  <c r="AX37" i="6"/>
  <c r="AZ37" i="6" s="1"/>
  <c r="D38" i="6"/>
  <c r="L43" i="6"/>
  <c r="K44" i="6"/>
  <c r="M44" i="6" s="1"/>
  <c r="M43" i="6"/>
  <c r="I47" i="6"/>
  <c r="AK59" i="6"/>
  <c r="T62" i="6"/>
  <c r="U62" i="6"/>
  <c r="AY62" i="6"/>
  <c r="D65" i="6"/>
  <c r="AY65" i="6"/>
  <c r="BA65" i="6" s="1"/>
  <c r="E65" i="6"/>
  <c r="AO65" i="6"/>
  <c r="AN65" i="6"/>
  <c r="AC66" i="6"/>
  <c r="AB66" i="6"/>
  <c r="AS67" i="6"/>
  <c r="AR67" i="6"/>
  <c r="O85" i="6"/>
  <c r="Q85" i="6" s="1"/>
  <c r="Q81" i="6"/>
  <c r="P81" i="6"/>
  <c r="AY81" i="6"/>
  <c r="BA81" i="6" s="1"/>
  <c r="AB82" i="6"/>
  <c r="Z85" i="6"/>
  <c r="AB85" i="6" s="1"/>
  <c r="I12" i="6"/>
  <c r="AM12" i="6"/>
  <c r="P13" i="6"/>
  <c r="T14" i="6"/>
  <c r="AY28" i="6"/>
  <c r="I37" i="6"/>
  <c r="AF37" i="6"/>
  <c r="P45" i="6"/>
  <c r="AW45" i="6"/>
  <c r="AV45" i="6"/>
  <c r="AO47" i="6"/>
  <c r="AX78" i="6"/>
  <c r="AZ78" i="6" s="1"/>
  <c r="F79" i="6"/>
  <c r="H78" i="6"/>
  <c r="T81" i="6"/>
  <c r="D82" i="6"/>
  <c r="N93" i="6"/>
  <c r="P93" i="6" s="1"/>
  <c r="P89" i="6"/>
  <c r="AX23" i="6"/>
  <c r="AZ23" i="6" s="1"/>
  <c r="V30" i="6"/>
  <c r="X30" i="6" s="1"/>
  <c r="X27" i="6"/>
  <c r="AX27" i="6"/>
  <c r="AZ27" i="6" s="1"/>
  <c r="AV30" i="6"/>
  <c r="J52" i="6"/>
  <c r="L41" i="6"/>
  <c r="AN38" i="6"/>
  <c r="AM41" i="6"/>
  <c r="S44" i="6"/>
  <c r="T43" i="6"/>
  <c r="U43" i="6"/>
  <c r="Q47" i="6"/>
  <c r="P47" i="6"/>
  <c r="O50" i="6"/>
  <c r="AQ50" i="6"/>
  <c r="AS47" i="6"/>
  <c r="AY51" i="6"/>
  <c r="BA51" i="6" s="1"/>
  <c r="P51" i="6"/>
  <c r="AB62" i="6"/>
  <c r="AA71" i="6"/>
  <c r="AC71" i="6" s="1"/>
  <c r="U73" i="6"/>
  <c r="T73" i="6"/>
  <c r="G79" i="6"/>
  <c r="I79" i="6" s="1"/>
  <c r="I78" i="6"/>
  <c r="AY82" i="6"/>
  <c r="BA82" i="6" s="1"/>
  <c r="C85" i="6"/>
  <c r="E82" i="6"/>
  <c r="Q93" i="6"/>
  <c r="AW15" i="6"/>
  <c r="AV15" i="6"/>
  <c r="K41" i="6"/>
  <c r="AK49" i="6"/>
  <c r="AJ49" i="6"/>
  <c r="B99" i="6"/>
  <c r="AX95" i="6"/>
  <c r="AX97" i="6"/>
  <c r="H97" i="6"/>
  <c r="AB28" i="6"/>
  <c r="D34" i="6"/>
  <c r="AF34" i="6"/>
  <c r="L37" i="6"/>
  <c r="AB40" i="6"/>
  <c r="AC40" i="6"/>
  <c r="AV41" i="6"/>
  <c r="AO44" i="6"/>
  <c r="S50" i="6"/>
  <c r="U50" i="6" s="1"/>
  <c r="U47" i="6"/>
  <c r="AW59" i="6"/>
  <c r="AS68" i="6"/>
  <c r="AR68" i="6"/>
  <c r="AG69" i="6"/>
  <c r="AF69" i="6"/>
  <c r="M78" i="6"/>
  <c r="AO78" i="6"/>
  <c r="Q83" i="6"/>
  <c r="AS83" i="6"/>
  <c r="AR83" i="6"/>
  <c r="U92" i="6"/>
  <c r="AH99" i="6"/>
  <c r="AJ99" i="6" s="1"/>
  <c r="AK95" i="6"/>
  <c r="AJ95" i="6"/>
  <c r="AZ70" i="6"/>
  <c r="Y10" i="6"/>
  <c r="B18" i="6"/>
  <c r="O12" i="6"/>
  <c r="AQ12" i="6"/>
  <c r="AW13" i="6"/>
  <c r="AV13" i="6"/>
  <c r="AW17" i="6"/>
  <c r="C26" i="6"/>
  <c r="AA26" i="6"/>
  <c r="AB26" i="6" s="1"/>
  <c r="E24" i="6"/>
  <c r="D24" i="6"/>
  <c r="AY29" i="6"/>
  <c r="BA29" i="6" s="1"/>
  <c r="AR32" i="6"/>
  <c r="Y33" i="6"/>
  <c r="AJ37" i="6"/>
  <c r="U41" i="6"/>
  <c r="AS39" i="6"/>
  <c r="N41" i="6"/>
  <c r="T47" i="6"/>
  <c r="AO49" i="6"/>
  <c r="AI50" i="6"/>
  <c r="AK50" i="6" s="1"/>
  <c r="AV61" i="6"/>
  <c r="P65" i="6"/>
  <c r="Q65" i="6"/>
  <c r="AC77" i="6"/>
  <c r="AA79" i="6"/>
  <c r="AN78" i="6"/>
  <c r="AW90" i="6"/>
  <c r="S93" i="6"/>
  <c r="D95" i="6"/>
  <c r="AI99" i="6"/>
  <c r="D11" i="6"/>
  <c r="AR12" i="6"/>
  <c r="X16" i="6"/>
  <c r="D23" i="6"/>
  <c r="AB23" i="6"/>
  <c r="AR24" i="6"/>
  <c r="H28" i="6"/>
  <c r="AG28" i="6"/>
  <c r="T32" i="6"/>
  <c r="Q37" i="6"/>
  <c r="T39" i="6"/>
  <c r="O41" i="6"/>
  <c r="AB43" i="6"/>
  <c r="AA44" i="6"/>
  <c r="I44" i="6"/>
  <c r="M68" i="6"/>
  <c r="AN69" i="6"/>
  <c r="AX69" i="6"/>
  <c r="AZ69" i="6" s="1"/>
  <c r="AJ70" i="6"/>
  <c r="AC85" i="6"/>
  <c r="Y89" i="6"/>
  <c r="AZ90" i="6"/>
  <c r="Q9" i="6"/>
  <c r="P9" i="6"/>
  <c r="AW12" i="6"/>
  <c r="AU18" i="6"/>
  <c r="E23" i="6"/>
  <c r="AC23" i="6"/>
  <c r="I28" i="6"/>
  <c r="U39" i="6"/>
  <c r="L59" i="6"/>
  <c r="AW78" i="6"/>
  <c r="AV78" i="6"/>
  <c r="AJ88" i="6"/>
  <c r="AH93" i="6"/>
  <c r="X89" i="6"/>
  <c r="U13" i="6"/>
  <c r="AV9" i="6"/>
  <c r="R12" i="6"/>
  <c r="AV12" i="6"/>
  <c r="D16" i="6"/>
  <c r="M24" i="6"/>
  <c r="L24" i="6"/>
  <c r="AG25" i="6"/>
  <c r="AJ29" i="6"/>
  <c r="AW32" i="6"/>
  <c r="AJ34" i="6"/>
  <c r="AG44" i="6"/>
  <c r="L53" i="6"/>
  <c r="AS69" i="6"/>
  <c r="AR69" i="6"/>
  <c r="AO70" i="6"/>
  <c r="AN70" i="6"/>
  <c r="I88" i="6"/>
  <c r="H88" i="6"/>
  <c r="F93" i="6"/>
  <c r="H93" i="6" s="1"/>
  <c r="AJ61" i="6"/>
  <c r="AK61" i="6"/>
  <c r="S71" i="6"/>
  <c r="U71" i="6" s="1"/>
  <c r="U64" i="6"/>
  <c r="AZ64" i="6"/>
  <c r="AV81" i="6"/>
  <c r="AU85" i="6"/>
  <c r="AW85" i="6" s="1"/>
  <c r="AW81" i="6"/>
  <c r="AZ84" i="6"/>
  <c r="M10" i="6"/>
  <c r="T9" i="6"/>
  <c r="AW9" i="6"/>
  <c r="AB14" i="6"/>
  <c r="AB15" i="6"/>
  <c r="AC17" i="6"/>
  <c r="G26" i="6"/>
  <c r="I23" i="6"/>
  <c r="AH30" i="6"/>
  <c r="AJ30" i="6" s="1"/>
  <c r="H29" i="6"/>
  <c r="Y32" i="6"/>
  <c r="AF43" i="6"/>
  <c r="P44" i="6"/>
  <c r="E48" i="6"/>
  <c r="AY48" i="6"/>
  <c r="BA48" i="6" s="1"/>
  <c r="AW49" i="6"/>
  <c r="X51" i="6"/>
  <c r="AS70" i="6"/>
  <c r="AR70" i="6"/>
  <c r="AY72" i="6"/>
  <c r="BA72" i="6" s="1"/>
  <c r="AH79" i="6"/>
  <c r="AJ79" i="6" s="1"/>
  <c r="AJ77" i="6"/>
  <c r="AK88" i="6"/>
  <c r="AC89" i="6"/>
  <c r="AA93" i="6"/>
  <c r="AC93" i="6" s="1"/>
  <c r="AY90" i="6"/>
  <c r="BA90" i="6" s="1"/>
  <c r="AB93" i="6"/>
  <c r="AS88" i="6"/>
  <c r="AQ93" i="6"/>
  <c r="AS93" i="6" s="1"/>
  <c r="AR88" i="6"/>
  <c r="AG91" i="6"/>
  <c r="AF91" i="6"/>
  <c r="I93" i="6"/>
  <c r="AC95" i="6"/>
  <c r="AA99" i="6"/>
  <c r="AC99" i="6" s="1"/>
  <c r="AB95" i="6"/>
  <c r="U23" i="6"/>
  <c r="AU26" i="6"/>
  <c r="AV26" i="6" s="1"/>
  <c r="S26" i="6"/>
  <c r="AX29" i="6"/>
  <c r="AQ79" i="6"/>
  <c r="AS79" i="6" s="1"/>
  <c r="AS76" i="6"/>
  <c r="AR76" i="6"/>
  <c r="AS78" i="6"/>
  <c r="AR78" i="6"/>
  <c r="V85" i="6"/>
  <c r="X85" i="6" s="1"/>
  <c r="AY91" i="6"/>
  <c r="BA91" i="6" s="1"/>
  <c r="AS96" i="6"/>
  <c r="M69" i="6"/>
  <c r="L69" i="6"/>
  <c r="C79" i="6"/>
  <c r="E77" i="6"/>
  <c r="D77" i="6"/>
  <c r="AY77" i="6"/>
  <c r="BA77" i="6" s="1"/>
  <c r="B85" i="6"/>
  <c r="AX92" i="6"/>
  <c r="AZ92" i="6" s="1"/>
  <c r="D92" i="6"/>
  <c r="AY66" i="6"/>
  <c r="BA66" i="6" s="1"/>
  <c r="AR77" i="6"/>
  <c r="AS77" i="6"/>
  <c r="Q89" i="6"/>
  <c r="AG90" i="6"/>
  <c r="AF90" i="6"/>
  <c r="AE93" i="6"/>
  <c r="AG93" i="6" s="1"/>
  <c r="AP99" i="6"/>
  <c r="AY70" i="6"/>
  <c r="BA70" i="6" s="1"/>
  <c r="I70" i="6"/>
  <c r="AR30" i="6"/>
  <c r="AF55" i="6"/>
  <c r="AE59" i="6"/>
  <c r="AG55" i="6"/>
  <c r="T71" i="6"/>
  <c r="P69" i="6"/>
  <c r="AR85" i="6"/>
  <c r="X86" i="6"/>
  <c r="AG10" i="6"/>
  <c r="AF10" i="6"/>
  <c r="M16" i="6"/>
  <c r="D22" i="6"/>
  <c r="S30" i="6"/>
  <c r="U30" i="6" s="1"/>
  <c r="AS33" i="6"/>
  <c r="Y39" i="6"/>
  <c r="C41" i="6"/>
  <c r="V50" i="6"/>
  <c r="AB49" i="6"/>
  <c r="AC49" i="6"/>
  <c r="Q67" i="6"/>
  <c r="H70" i="6"/>
  <c r="AS75" i="6"/>
  <c r="AX77" i="6"/>
  <c r="P77" i="6"/>
  <c r="AC86" i="6"/>
  <c r="AB86" i="6"/>
  <c r="B93" i="6"/>
  <c r="AX88" i="6"/>
  <c r="AZ88" i="6" s="1"/>
  <c r="Q97" i="6"/>
  <c r="P97" i="6"/>
  <c r="AK32" i="6"/>
  <c r="E66" i="6"/>
  <c r="AF68" i="6"/>
  <c r="AN72" i="6"/>
  <c r="I75" i="6"/>
  <c r="H75" i="6"/>
  <c r="AO84" i="6"/>
  <c r="AA12" i="6"/>
  <c r="D26" i="6"/>
  <c r="AX31" i="6"/>
  <c r="AZ31" i="6" s="1"/>
  <c r="P32" i="6"/>
  <c r="AB41" i="6"/>
  <c r="Z52" i="6"/>
  <c r="Z100" i="6" s="1"/>
  <c r="W50" i="6"/>
  <c r="Y50" i="6" s="1"/>
  <c r="AW47" i="6"/>
  <c r="AM71" i="6"/>
  <c r="AO64" i="6"/>
  <c r="T65" i="6"/>
  <c r="U67" i="6"/>
  <c r="T67" i="6"/>
  <c r="AX68" i="6"/>
  <c r="AZ68" i="6" s="1"/>
  <c r="D68" i="6"/>
  <c r="M70" i="6"/>
  <c r="L70" i="6"/>
  <c r="T82" i="6"/>
  <c r="E88" i="6"/>
  <c r="AY88" i="6"/>
  <c r="C93" i="6"/>
  <c r="AY89" i="6"/>
  <c r="BA89" i="6" s="1"/>
  <c r="Q95" i="6"/>
  <c r="P95" i="6"/>
  <c r="AF96" i="6"/>
  <c r="AD99" i="6"/>
  <c r="AF99" i="6" s="1"/>
  <c r="AW97" i="6"/>
  <c r="AV97" i="6"/>
  <c r="Y85" i="6"/>
  <c r="M84" i="6"/>
  <c r="K85" i="6"/>
  <c r="M85" i="6" s="1"/>
  <c r="AY84" i="6"/>
  <c r="BA84" i="6" s="1"/>
  <c r="AC48" i="6"/>
  <c r="AK65" i="6"/>
  <c r="AC70" i="6"/>
  <c r="AB70" i="6"/>
  <c r="U75" i="6"/>
  <c r="T75" i="6"/>
  <c r="AR86" i="6"/>
  <c r="AS86" i="6"/>
  <c r="K12" i="6"/>
  <c r="AH26" i="6"/>
  <c r="AJ22" i="6"/>
  <c r="K26" i="6"/>
  <c r="L26" i="6" s="1"/>
  <c r="AI26" i="6"/>
  <c r="AY47" i="6"/>
  <c r="AF51" i="6"/>
  <c r="AX53" i="6"/>
  <c r="AZ53" i="6" s="1"/>
  <c r="D53" i="6"/>
  <c r="AG53" i="6"/>
  <c r="F59" i="6"/>
  <c r="H59" i="6" s="1"/>
  <c r="H56" i="6"/>
  <c r="AX65" i="6"/>
  <c r="AJ69" i="6"/>
  <c r="Q72" i="6"/>
  <c r="AM79" i="6"/>
  <c r="AN76" i="6"/>
  <c r="Z79" i="6"/>
  <c r="AB79" i="6" s="1"/>
  <c r="AB77" i="6"/>
  <c r="AK78" i="6"/>
  <c r="AJ78" i="6"/>
  <c r="AL85" i="6"/>
  <c r="AN85" i="6" s="1"/>
  <c r="AN81" i="6"/>
  <c r="AX86" i="6"/>
  <c r="AR93" i="6"/>
  <c r="AF97" i="6"/>
  <c r="L98" i="6"/>
  <c r="U96" i="6"/>
  <c r="T96" i="6"/>
  <c r="AY97" i="6"/>
  <c r="BA97" i="6" s="1"/>
  <c r="AN98" i="6"/>
  <c r="AM99" i="6"/>
  <c r="E97" i="6"/>
  <c r="I97" i="6"/>
  <c r="B30" i="6"/>
  <c r="AS34" i="6"/>
  <c r="AE50" i="6"/>
  <c r="AG47" i="6"/>
  <c r="E53" i="6"/>
  <c r="H65" i="6"/>
  <c r="G71" i="6"/>
  <c r="I71" i="6" s="1"/>
  <c r="I65" i="6"/>
  <c r="J79" i="6"/>
  <c r="L79" i="6" s="1"/>
  <c r="E81" i="6"/>
  <c r="M83" i="6"/>
  <c r="U84" i="6"/>
  <c r="T84" i="6"/>
  <c r="C99" i="6"/>
  <c r="AY95" i="6"/>
  <c r="BA95" i="6" s="1"/>
  <c r="AY96" i="6"/>
  <c r="AS98" i="6"/>
  <c r="AO13" i="6"/>
  <c r="M14" i="6"/>
  <c r="L14" i="6"/>
  <c r="E29" i="6"/>
  <c r="D32" i="6"/>
  <c r="T45" i="6"/>
  <c r="L47" i="6"/>
  <c r="AL59" i="6"/>
  <c r="AN58" i="6"/>
  <c r="AX67" i="6"/>
  <c r="U72" i="6"/>
  <c r="T72" i="6"/>
  <c r="AW75" i="6"/>
  <c r="AV75" i="6"/>
  <c r="L77" i="6"/>
  <c r="Q86" i="6"/>
  <c r="E90" i="6"/>
  <c r="D90" i="6"/>
  <c r="AB92" i="6"/>
  <c r="E95" i="6"/>
  <c r="AE99" i="6"/>
  <c r="I96" i="6"/>
  <c r="U98" i="6"/>
  <c r="AJ48" i="6"/>
  <c r="AY56" i="6"/>
  <c r="BA56" i="6" s="1"/>
  <c r="C59" i="6"/>
  <c r="AG61" i="6"/>
  <c r="AF61" i="6"/>
  <c r="AY67" i="6"/>
  <c r="BA67" i="6" s="1"/>
  <c r="L74" i="6"/>
  <c r="AZ75" i="6"/>
  <c r="R93" i="6"/>
  <c r="T93" i="6" s="1"/>
  <c r="AB89" i="6"/>
  <c r="AS97" i="6"/>
  <c r="AG29" i="6"/>
  <c r="AC33" i="6"/>
  <c r="AM50" i="6"/>
  <c r="AO50" i="6" s="1"/>
  <c r="E60" i="6"/>
  <c r="D60" i="6"/>
  <c r="Q62" i="6"/>
  <c r="L67" i="6"/>
  <c r="U68" i="6"/>
  <c r="T68" i="6"/>
  <c r="AC72" i="6"/>
  <c r="AB72" i="6"/>
  <c r="M73" i="6"/>
  <c r="V79" i="6"/>
  <c r="Y78" i="6"/>
  <c r="X78" i="6"/>
  <c r="U83" i="6"/>
  <c r="AC84" i="6"/>
  <c r="L60" i="6"/>
  <c r="M60" i="6"/>
  <c r="U65" i="6"/>
  <c r="D66" i="6"/>
  <c r="B71" i="6"/>
  <c r="AX66" i="6"/>
  <c r="I92" i="6"/>
  <c r="AT100" i="6"/>
  <c r="AY49" i="6"/>
  <c r="AX59" i="6"/>
  <c r="AJ60" i="6"/>
  <c r="AK60" i="6"/>
  <c r="E68" i="6"/>
  <c r="AG81" i="6"/>
  <c r="Y88" i="6"/>
  <c r="W93" i="6"/>
  <c r="Y93" i="6" s="1"/>
  <c r="AN24" i="6"/>
  <c r="L25" i="6"/>
  <c r="D45" i="6"/>
  <c r="AB45" i="6"/>
  <c r="AB51" i="6"/>
  <c r="AJ53" i="6"/>
  <c r="AN54" i="6"/>
  <c r="T56" i="6"/>
  <c r="L62" i="6"/>
  <c r="E64" i="6"/>
  <c r="C71" i="6"/>
  <c r="AG64" i="6"/>
  <c r="AV66" i="6"/>
  <c r="AC73" i="6"/>
  <c r="P76" i="6"/>
  <c r="I81" i="6"/>
  <c r="M90" i="6"/>
  <c r="AR90" i="6"/>
  <c r="AV92" i="6"/>
  <c r="Y97" i="6"/>
  <c r="AR28" i="6"/>
  <c r="AO40" i="6"/>
  <c r="I48" i="6"/>
  <c r="E49" i="6"/>
  <c r="F50" i="6"/>
  <c r="H50" i="6" s="1"/>
  <c r="I53" i="6"/>
  <c r="S59" i="6"/>
  <c r="U59" i="6" s="1"/>
  <c r="AJ57" i="6"/>
  <c r="AH59" i="6"/>
  <c r="AJ59" i="6" s="1"/>
  <c r="AX57" i="6"/>
  <c r="AZ57" i="6" s="1"/>
  <c r="AH71" i="6"/>
  <c r="AJ71" i="6" s="1"/>
  <c r="AY74" i="6"/>
  <c r="BA74" i="6" s="1"/>
  <c r="AU79" i="6"/>
  <c r="AF93" i="6"/>
  <c r="W99" i="6"/>
  <c r="AW98" i="6"/>
  <c r="AV98" i="6"/>
  <c r="Y74" i="6"/>
  <c r="AC82" i="6"/>
  <c r="AQ99" i="6"/>
  <c r="AS99" i="6" s="1"/>
  <c r="AR95" i="6"/>
  <c r="AU99" i="6"/>
  <c r="AW67" i="6"/>
  <c r="AV67" i="6"/>
  <c r="AE79" i="6"/>
  <c r="AG79" i="6" s="1"/>
  <c r="T86" i="6"/>
  <c r="AY98" i="6"/>
  <c r="BA98" i="6" s="1"/>
  <c r="AX74" i="6"/>
  <c r="D74" i="6"/>
  <c r="AD79" i="6"/>
  <c r="AH85" i="6"/>
  <c r="AJ85" i="6" s="1"/>
  <c r="AJ81" i="6"/>
  <c r="AX83" i="6"/>
  <c r="AG89" i="6"/>
  <c r="AF89" i="6"/>
  <c r="J93" i="6"/>
  <c r="L93" i="6" s="1"/>
  <c r="AM59" i="6"/>
  <c r="AO59" i="6" s="1"/>
  <c r="Y67" i="6"/>
  <c r="AB69" i="6"/>
  <c r="D70" i="6"/>
  <c r="AF70" i="6"/>
  <c r="AG73" i="6"/>
  <c r="E74" i="6"/>
  <c r="AC75" i="6"/>
  <c r="AG76" i="6"/>
  <c r="H77" i="6"/>
  <c r="AY78" i="6"/>
  <c r="I82" i="6"/>
  <c r="AF84" i="6"/>
  <c r="H90" i="6"/>
  <c r="AR91" i="6"/>
  <c r="AZ94" i="6"/>
  <c r="AV95" i="6"/>
  <c r="E98" i="6"/>
  <c r="AY76" i="6"/>
  <c r="BA76" i="6" s="1"/>
  <c r="AF77" i="6"/>
  <c r="AK81" i="6"/>
  <c r="H83" i="6"/>
  <c r="I89" i="6"/>
  <c r="H89" i="6"/>
  <c r="V99" i="6"/>
  <c r="X99" i="6" s="1"/>
  <c r="H98" i="6"/>
  <c r="D56" i="6"/>
  <c r="W79" i="6"/>
  <c r="Y79" i="6" s="1"/>
  <c r="AZ76" i="6"/>
  <c r="X77" i="6"/>
  <c r="N85" i="6"/>
  <c r="AF98" i="6"/>
  <c r="AY68" i="6"/>
  <c r="U44" i="6" l="1"/>
  <c r="T44" i="6"/>
  <c r="L12" i="6"/>
  <c r="J18" i="6"/>
  <c r="AY99" i="6"/>
  <c r="BA99" i="6" s="1"/>
  <c r="E99" i="6"/>
  <c r="AY50" i="6"/>
  <c r="L85" i="6"/>
  <c r="AG18" i="6"/>
  <c r="AE19" i="6"/>
  <c r="D85" i="6"/>
  <c r="AX85" i="6"/>
  <c r="AY30" i="6"/>
  <c r="BA30" i="6" s="1"/>
  <c r="S52" i="6"/>
  <c r="AX79" i="6"/>
  <c r="AZ79" i="6" s="1"/>
  <c r="AZ72" i="6"/>
  <c r="AF59" i="6"/>
  <c r="AG59" i="6"/>
  <c r="AZ82" i="6"/>
  <c r="AZ67" i="6"/>
  <c r="AH100" i="6"/>
  <c r="AJ26" i="6"/>
  <c r="E79" i="6"/>
  <c r="AY79" i="6"/>
  <c r="D79" i="6"/>
  <c r="AM18" i="6"/>
  <c r="AO12" i="6"/>
  <c r="AN12" i="6"/>
  <c r="AG71" i="6"/>
  <c r="E44" i="6"/>
  <c r="AY44" i="6"/>
  <c r="BA44" i="6" s="1"/>
  <c r="I50" i="6"/>
  <c r="AZ60" i="6"/>
  <c r="K18" i="6"/>
  <c r="M12" i="6"/>
  <c r="T12" i="6"/>
  <c r="R18" i="6"/>
  <c r="AK99" i="6"/>
  <c r="AD52" i="6"/>
  <c r="AF41" i="6"/>
  <c r="AZ73" i="6"/>
  <c r="AN30" i="6"/>
  <c r="W18" i="6"/>
  <c r="Y12" i="6"/>
  <c r="Y99" i="6"/>
  <c r="X79" i="6"/>
  <c r="AN59" i="6"/>
  <c r="AY93" i="6"/>
  <c r="E93" i="6"/>
  <c r="AA18" i="6"/>
  <c r="AC12" i="6"/>
  <c r="H71" i="6"/>
  <c r="T79" i="6"/>
  <c r="AI52" i="6"/>
  <c r="AK52" i="6" s="1"/>
  <c r="AZ91" i="6"/>
  <c r="BA37" i="6"/>
  <c r="J100" i="6"/>
  <c r="L100" i="6" s="1"/>
  <c r="BA43" i="6"/>
  <c r="AY12" i="6"/>
  <c r="E12" i="6"/>
  <c r="C18" i="6"/>
  <c r="D12" i="6"/>
  <c r="B19" i="6"/>
  <c r="D18" i="6"/>
  <c r="H30" i="6"/>
  <c r="AN18" i="6"/>
  <c r="AL19" i="6"/>
  <c r="D93" i="6"/>
  <c r="AX93" i="6"/>
  <c r="AZ93" i="6" s="1"/>
  <c r="AY85" i="6"/>
  <c r="BA85" i="6" s="1"/>
  <c r="E85" i="6"/>
  <c r="AQ52" i="6"/>
  <c r="AS41" i="6"/>
  <c r="AZ86" i="6"/>
  <c r="S100" i="6"/>
  <c r="U100" i="6" s="1"/>
  <c r="U26" i="6"/>
  <c r="AO71" i="6"/>
  <c r="AU19" i="6"/>
  <c r="AW18" i="6"/>
  <c r="BA62" i="6"/>
  <c r="AZ77" i="6"/>
  <c r="AW71" i="6"/>
  <c r="AV71" i="6"/>
  <c r="P71" i="6"/>
  <c r="AY59" i="6"/>
  <c r="BA59" i="6" s="1"/>
  <c r="E59" i="6"/>
  <c r="U93" i="6"/>
  <c r="BA53" i="6"/>
  <c r="AW79" i="6"/>
  <c r="AV79" i="6"/>
  <c r="AG50" i="6"/>
  <c r="AJ93" i="6"/>
  <c r="AK93" i="6"/>
  <c r="AA100" i="6"/>
  <c r="AC100" i="6" s="1"/>
  <c r="AC26" i="6"/>
  <c r="R100" i="6"/>
  <c r="D99" i="6"/>
  <c r="AX99" i="6"/>
  <c r="Y30" i="6"/>
  <c r="Q59" i="6"/>
  <c r="P59" i="6"/>
  <c r="Z101" i="6"/>
  <c r="AU52" i="6"/>
  <c r="AW41" i="6"/>
  <c r="D50" i="6"/>
  <c r="AX50" i="6"/>
  <c r="AZ50" i="6" s="1"/>
  <c r="AI19" i="6"/>
  <c r="AK18" i="6"/>
  <c r="V19" i="6"/>
  <c r="X18" i="6"/>
  <c r="AF79" i="6"/>
  <c r="D59" i="6"/>
  <c r="BA49" i="6"/>
  <c r="AX30" i="6"/>
  <c r="D30" i="6"/>
  <c r="AC44" i="6"/>
  <c r="AB44" i="6"/>
  <c r="AC79" i="6"/>
  <c r="Q50" i="6"/>
  <c r="F52" i="6"/>
  <c r="H52" i="6" s="1"/>
  <c r="H41" i="6"/>
  <c r="M93" i="6"/>
  <c r="H26" i="6"/>
  <c r="F100" i="6"/>
  <c r="AX26" i="6"/>
  <c r="AZ26" i="6" s="1"/>
  <c r="BA23" i="6"/>
  <c r="X12" i="6"/>
  <c r="AZ16" i="6"/>
  <c r="BA68" i="6"/>
  <c r="AV100" i="6"/>
  <c r="AG99" i="6"/>
  <c r="H79" i="6"/>
  <c r="AZ38" i="6"/>
  <c r="AK44" i="6"/>
  <c r="AJ44" i="6"/>
  <c r="AZ81" i="6"/>
  <c r="AV19" i="6"/>
  <c r="AT101" i="6"/>
  <c r="Q26" i="6"/>
  <c r="AZ40" i="6"/>
  <c r="BA34" i="6"/>
  <c r="AB12" i="6"/>
  <c r="T26" i="6"/>
  <c r="L52" i="6"/>
  <c r="AK26" i="6"/>
  <c r="G19" i="6"/>
  <c r="I18" i="6"/>
  <c r="BA25" i="6"/>
  <c r="AZ25" i="6"/>
  <c r="AZ97" i="6"/>
  <c r="X50" i="6"/>
  <c r="AJ18" i="6"/>
  <c r="AH19" i="6"/>
  <c r="AX44" i="6"/>
  <c r="D44" i="6"/>
  <c r="AM52" i="6"/>
  <c r="AO52" i="6" s="1"/>
  <c r="AO41" i="6"/>
  <c r="AW99" i="6"/>
  <c r="AV99" i="6"/>
  <c r="I99" i="6"/>
  <c r="BA47" i="6"/>
  <c r="BA92" i="6"/>
  <c r="BA28" i="6"/>
  <c r="M71" i="6"/>
  <c r="L71" i="6"/>
  <c r="K100" i="6"/>
  <c r="M26" i="6"/>
  <c r="W100" i="6"/>
  <c r="Y100" i="6" s="1"/>
  <c r="Y26" i="6"/>
  <c r="AZ83" i="6"/>
  <c r="AN93" i="6"/>
  <c r="I26" i="6"/>
  <c r="AF85" i="6"/>
  <c r="W52" i="6"/>
  <c r="Y52" i="6" s="1"/>
  <c r="AY26" i="6"/>
  <c r="E26" i="6"/>
  <c r="AS50" i="6"/>
  <c r="AR50" i="6"/>
  <c r="AN41" i="6"/>
  <c r="AB99" i="6"/>
  <c r="BA78" i="6"/>
  <c r="AO99" i="6"/>
  <c r="AN99" i="6"/>
  <c r="AK85" i="6"/>
  <c r="AO85" i="6"/>
  <c r="AZ51" i="6"/>
  <c r="AS12" i="6"/>
  <c r="AQ18" i="6"/>
  <c r="AJ50" i="6"/>
  <c r="K52" i="6"/>
  <c r="M52" i="6" s="1"/>
  <c r="M41" i="6"/>
  <c r="AC50" i="6"/>
  <c r="AZ33" i="6"/>
  <c r="BA15" i="6"/>
  <c r="AL100" i="6"/>
  <c r="X26" i="6"/>
  <c r="D71" i="6"/>
  <c r="AX71" i="6"/>
  <c r="AZ71" i="6" s="1"/>
  <c r="AU100" i="6"/>
  <c r="AW100" i="6" s="1"/>
  <c r="AW26" i="6"/>
  <c r="N52" i="6"/>
  <c r="P41" i="6"/>
  <c r="AB52" i="6"/>
  <c r="F19" i="6"/>
  <c r="H18" i="6"/>
  <c r="BA88" i="6"/>
  <c r="G52" i="6"/>
  <c r="I41" i="6"/>
  <c r="BA17" i="6"/>
  <c r="AZ48" i="6"/>
  <c r="BA61" i="6"/>
  <c r="AR41" i="6"/>
  <c r="AP52" i="6"/>
  <c r="AN50" i="6"/>
  <c r="AR99" i="6"/>
  <c r="AZ95" i="6"/>
  <c r="Q99" i="6"/>
  <c r="P99" i="6"/>
  <c r="Y59" i="6"/>
  <c r="X59" i="6"/>
  <c r="AB71" i="6"/>
  <c r="AO79" i="6"/>
  <c r="AN79" i="6"/>
  <c r="AY41" i="6"/>
  <c r="BA41" i="6" s="1"/>
  <c r="C52" i="6"/>
  <c r="E41" i="6"/>
  <c r="AO26" i="6"/>
  <c r="AZ74" i="6"/>
  <c r="E71" i="6"/>
  <c r="AY71" i="6"/>
  <c r="AZ65" i="6"/>
  <c r="AV85" i="6"/>
  <c r="AX12" i="6"/>
  <c r="AZ12" i="6" s="1"/>
  <c r="Q41" i="6"/>
  <c r="O52" i="6"/>
  <c r="T50" i="6"/>
  <c r="T99" i="6"/>
  <c r="AE52" i="6"/>
  <c r="AG41" i="6"/>
  <c r="AX41" i="6"/>
  <c r="D41" i="6"/>
  <c r="B52" i="6"/>
  <c r="AV18" i="6"/>
  <c r="AN26" i="6"/>
  <c r="AH52" i="6"/>
  <c r="AJ41" i="6"/>
  <c r="BA54" i="6"/>
  <c r="AZ54" i="6"/>
  <c r="AZ14" i="6"/>
  <c r="V100" i="6"/>
  <c r="AF18" i="6"/>
  <c r="AD19" i="6"/>
  <c r="P85" i="6"/>
  <c r="AZ66" i="6"/>
  <c r="BA96" i="6"/>
  <c r="AZ29" i="6"/>
  <c r="L44" i="6"/>
  <c r="O18" i="6"/>
  <c r="Q12" i="6"/>
  <c r="AZ89" i="6"/>
  <c r="AP100" i="6"/>
  <c r="AR26" i="6"/>
  <c r="AZ13" i="6"/>
  <c r="AZ32" i="6"/>
  <c r="U12" i="6"/>
  <c r="AD100" i="6"/>
  <c r="AF26" i="6"/>
  <c r="AZ10" i="6"/>
  <c r="M79" i="6"/>
  <c r="AZ41" i="6" l="1"/>
  <c r="M100" i="6"/>
  <c r="AW52" i="6"/>
  <c r="AV52" i="6"/>
  <c r="BA93" i="6"/>
  <c r="F101" i="6"/>
  <c r="H19" i="6"/>
  <c r="R19" i="6"/>
  <c r="T18" i="6"/>
  <c r="U18" i="6"/>
  <c r="P52" i="6"/>
  <c r="N100" i="6"/>
  <c r="U52" i="6"/>
  <c r="T52" i="6"/>
  <c r="AG52" i="6"/>
  <c r="AE100" i="6"/>
  <c r="AG100" i="6" s="1"/>
  <c r="AZ85" i="6"/>
  <c r="AC18" i="6"/>
  <c r="AA19" i="6"/>
  <c r="AB18" i="6"/>
  <c r="Q52" i="6"/>
  <c r="BA50" i="6"/>
  <c r="BA71" i="6"/>
  <c r="AT102" i="6"/>
  <c r="L18" i="6"/>
  <c r="J19" i="6"/>
  <c r="AX19" i="6" s="1"/>
  <c r="AZ99" i="6"/>
  <c r="S101" i="6"/>
  <c r="AY18" i="6"/>
  <c r="BA18" i="6" s="1"/>
  <c r="E18" i="6"/>
  <c r="C19" i="6"/>
  <c r="AS52" i="6"/>
  <c r="AQ100" i="6"/>
  <c r="AS100" i="6" s="1"/>
  <c r="H100" i="6"/>
  <c r="AE101" i="6"/>
  <c r="AG19" i="6"/>
  <c r="AR52" i="6"/>
  <c r="Z102" i="6"/>
  <c r="X100" i="6"/>
  <c r="E52" i="6"/>
  <c r="AY52" i="6"/>
  <c r="D52" i="6"/>
  <c r="AX52" i="6"/>
  <c r="AZ52" i="6" s="1"/>
  <c r="B100" i="6"/>
  <c r="I19" i="6"/>
  <c r="O19" i="6"/>
  <c r="Q18" i="6"/>
  <c r="P18" i="6"/>
  <c r="AK19" i="6"/>
  <c r="AN19" i="6"/>
  <c r="AL101" i="6"/>
  <c r="AM19" i="6"/>
  <c r="AO18" i="6"/>
  <c r="O100" i="6"/>
  <c r="BA79" i="6"/>
  <c r="I52" i="6"/>
  <c r="AH101" i="6"/>
  <c r="AJ19" i="6"/>
  <c r="T100" i="6"/>
  <c r="AU101" i="6"/>
  <c r="AW19" i="6"/>
  <c r="BA12" i="6"/>
  <c r="AP101" i="6"/>
  <c r="X19" i="6"/>
  <c r="V101" i="6"/>
  <c r="M18" i="6"/>
  <c r="K19" i="6"/>
  <c r="AI100" i="6"/>
  <c r="AK100" i="6" s="1"/>
  <c r="AD101" i="6"/>
  <c r="AF19" i="6"/>
  <c r="AX18" i="6"/>
  <c r="C100" i="6"/>
  <c r="BA26" i="6"/>
  <c r="AZ59" i="6"/>
  <c r="Y18" i="6"/>
  <c r="W19" i="6"/>
  <c r="AZ44" i="6"/>
  <c r="AM100" i="6"/>
  <c r="AO100" i="6" s="1"/>
  <c r="AJ52" i="6"/>
  <c r="AQ19" i="6"/>
  <c r="AS18" i="6"/>
  <c r="AR18" i="6"/>
  <c r="G100" i="6"/>
  <c r="I100" i="6" s="1"/>
  <c r="AZ30" i="6"/>
  <c r="AN52" i="6"/>
  <c r="AF52" i="6"/>
  <c r="X52" i="6"/>
  <c r="AB100" i="6"/>
  <c r="AI101" i="6" l="1"/>
  <c r="V102" i="6"/>
  <c r="AD102" i="6"/>
  <c r="AF101" i="6"/>
  <c r="AP102" i="6"/>
  <c r="P100" i="6"/>
  <c r="N101" i="6"/>
  <c r="AH102" i="6"/>
  <c r="AJ101" i="6"/>
  <c r="AE102" i="6"/>
  <c r="AG102" i="6" s="1"/>
  <c r="AG101" i="6"/>
  <c r="K101" i="6"/>
  <c r="M19" i="6"/>
  <c r="C101" i="6"/>
  <c r="AY19" i="6"/>
  <c r="BA19" i="6" s="1"/>
  <c r="E19" i="6"/>
  <c r="O101" i="6"/>
  <c r="Q19" i="6"/>
  <c r="P19" i="6"/>
  <c r="AX100" i="6"/>
  <c r="D100" i="6"/>
  <c r="AU102" i="6"/>
  <c r="AW102" i="6" s="1"/>
  <c r="AW101" i="6"/>
  <c r="AV102" i="6"/>
  <c r="AV101" i="6"/>
  <c r="AY100" i="6"/>
  <c r="BA100" i="6" s="1"/>
  <c r="E100" i="6"/>
  <c r="AR100" i="6"/>
  <c r="J101" i="6"/>
  <c r="L19" i="6"/>
  <c r="R101" i="6"/>
  <c r="T19" i="6"/>
  <c r="U19" i="6"/>
  <c r="D19" i="6"/>
  <c r="H101" i="6"/>
  <c r="F102" i="6"/>
  <c r="AF100" i="6"/>
  <c r="Q100" i="6"/>
  <c r="AL102" i="6"/>
  <c r="AN101" i="6"/>
  <c r="AA101" i="6"/>
  <c r="AC19" i="6"/>
  <c r="AB19" i="6"/>
  <c r="S102" i="6"/>
  <c r="G101" i="6"/>
  <c r="AQ101" i="6"/>
  <c r="AS19" i="6"/>
  <c r="AR19" i="6"/>
  <c r="BA52" i="6"/>
  <c r="W101" i="6"/>
  <c r="Y19" i="6"/>
  <c r="AJ100" i="6"/>
  <c r="B101" i="6"/>
  <c r="AZ18" i="6"/>
  <c r="AN100" i="6"/>
  <c r="AM101" i="6"/>
  <c r="AO19" i="6"/>
  <c r="J102" i="6" l="1"/>
  <c r="L101" i="6"/>
  <c r="AQ102" i="6"/>
  <c r="AS102" i="6" s="1"/>
  <c r="AS101" i="6"/>
  <c r="B102" i="6"/>
  <c r="AX101" i="6"/>
  <c r="D101" i="6"/>
  <c r="T101" i="6"/>
  <c r="R102" i="6"/>
  <c r="T102" i="6" s="1"/>
  <c r="AR101" i="6"/>
  <c r="Q101" i="6"/>
  <c r="O102" i="6"/>
  <c r="Q102" i="6" s="1"/>
  <c r="AY101" i="6"/>
  <c r="BA101" i="6" s="1"/>
  <c r="C102" i="6"/>
  <c r="E101" i="6"/>
  <c r="Y101" i="6"/>
  <c r="W102" i="6"/>
  <c r="Y102" i="6" s="1"/>
  <c r="U101" i="6"/>
  <c r="M101" i="6"/>
  <c r="K102" i="6"/>
  <c r="M102" i="6" s="1"/>
  <c r="N102" i="6"/>
  <c r="P101" i="6"/>
  <c r="G102" i="6"/>
  <c r="I102" i="6" s="1"/>
  <c r="I101" i="6"/>
  <c r="AR102" i="6"/>
  <c r="AF102" i="6"/>
  <c r="AA102" i="6"/>
  <c r="AC101" i="6"/>
  <c r="AB101" i="6"/>
  <c r="X101" i="6"/>
  <c r="AZ100" i="6"/>
  <c r="AK101" i="6"/>
  <c r="AI102" i="6"/>
  <c r="AK102" i="6" s="1"/>
  <c r="AM102" i="6"/>
  <c r="AO102" i="6" s="1"/>
  <c r="AO101" i="6"/>
  <c r="AZ19" i="6"/>
  <c r="X102" i="6" l="1"/>
  <c r="AJ102" i="6"/>
  <c r="AZ101" i="6"/>
  <c r="H102" i="6"/>
  <c r="E102" i="6"/>
  <c r="AY102" i="6"/>
  <c r="AC102" i="6"/>
  <c r="AB102" i="6"/>
  <c r="U102" i="6"/>
  <c r="D102" i="6"/>
  <c r="AX102" i="6"/>
  <c r="AZ102" i="6" s="1"/>
  <c r="P102" i="6"/>
  <c r="AN102" i="6"/>
  <c r="L102" i="6"/>
  <c r="BA102" i="6" l="1"/>
  <c r="B66" i="5"/>
  <c r="B55" i="5"/>
  <c r="B47" i="5"/>
  <c r="B51" i="5" s="1"/>
  <c r="B39" i="5"/>
  <c r="B52" i="5" s="1"/>
  <c r="B56" i="5" s="1"/>
  <c r="B67" i="5" s="1"/>
  <c r="B32" i="5"/>
  <c r="B29" i="5"/>
  <c r="B24" i="5"/>
  <c r="B18" i="5"/>
  <c r="B13" i="5"/>
  <c r="B15" i="5" s="1"/>
  <c r="B25" i="5" s="1"/>
  <c r="B33" i="5" s="1"/>
</calcChain>
</file>

<file path=xl/sharedStrings.xml><?xml version="1.0" encoding="utf-8"?>
<sst xmlns="http://schemas.openxmlformats.org/spreadsheetml/2006/main" count="505" uniqueCount="417">
  <si>
    <t>Balance Sheet</t>
  </si>
  <si>
    <t>Berthoud Community Library District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</si>
  <si>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</si>
  <si>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</si>
  <si>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</si>
  <si>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</si>
  <si>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</si>
  <si>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</si>
  <si>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</si>
  <si>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</si>
  <si>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</si>
  <si>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</si>
  <si>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</si>
  <si>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</si>
  <si>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</si>
  <si>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</si>
  <si>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</si>
  <si>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</si>
  <si>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</si>
  <si>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</si>
  <si>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</si>
  <si>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</si>
  <si>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</si>
  <si>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</si>
  <si>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</si>
  <si>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</si>
  <si>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</si>
  <si>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</si>
  <si>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</si>
  <si>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</si>
  <si>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</si>
  <si>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</si>
  <si>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</si>
  <si>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</si>
  <si>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</si>
  <si>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</si>
  <si>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</si>
  <si>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</si>
  <si>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</si>
  <si>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</si>
  <si>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</si>
  <si>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</si>
  <si>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</si>
  <si>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</si>
  <si>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</si>
  <si>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</si>
  <si>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</si>
  <si>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</si>
  <si>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</si>
  <si>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</si>
  <si>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</si>
  <si>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</si>
  <si>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</si>
  <si>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</si>
  <si>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</si>
  <si>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</si>
  <si>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</si>
  <si>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</si>
  <si>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</si>
  <si>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</si>
  <si>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</si>
  <si>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</si>
  <si>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</si>
  <si>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</si>
  <si>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 xml:space="preserve">Budget vs. Actuals: Budget_FY25_P&amp;L_1 - FY25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</si>
  <si>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</si>
  <si>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</si>
  <si>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</si>
  <si>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</si>
  <si>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</si>
  <si>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</si>
  <si>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</si>
  <si>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</si>
  <si>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</si>
  <si>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</si>
  <si>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</si>
  <si>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</si>
  <si>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</si>
  <si>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</si>
  <si>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</si>
  <si>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</si>
  <si>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</si>
  <si>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</si>
  <si>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</si>
  <si>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Friends of the Library</t>
  </si>
  <si>
    <t xml:space="preserve">      Grants</t>
  </si>
  <si>
    <t xml:space="preserve">      Undesignated</t>
  </si>
  <si>
    <t xml:space="preserve">   Total 40010 Donations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</si>
  <si>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</si>
  <si>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</si>
  <si>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</si>
  <si>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</si>
  <si>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</si>
  <si>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</si>
  <si>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</si>
  <si>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</si>
  <si>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</si>
  <si>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</si>
  <si>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</si>
  <si>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</si>
  <si>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</si>
  <si>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</si>
  <si>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</si>
  <si>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</si>
  <si>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</si>
  <si>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</si>
  <si>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</si>
  <si>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</si>
  <si>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</si>
  <si>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</si>
  <si>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</si>
  <si>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</si>
  <si>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</si>
  <si>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</si>
  <si>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</si>
  <si>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</si>
  <si>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</si>
  <si>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</si>
  <si>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</si>
  <si>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</si>
  <si>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</si>
  <si>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</si>
  <si>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</si>
  <si>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</si>
  <si>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</si>
  <si>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</si>
  <si>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</si>
  <si>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</si>
  <si>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</si>
  <si>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</si>
  <si>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</si>
  <si>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</si>
  <si>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</si>
  <si>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</si>
  <si>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</si>
  <si>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</si>
  <si>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</si>
  <si>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</si>
  <si>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</si>
  <si>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</si>
  <si>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</si>
  <si>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</si>
  <si>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</si>
  <si>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</si>
  <si>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Medical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</si>
  <si>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</si>
  <si>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</si>
  <si>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</si>
  <si>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</si>
  <si>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</si>
  <si>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</si>
  <si>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</si>
  <si>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</si>
  <si>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</si>
  <si>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</si>
  <si>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</si>
  <si>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</si>
  <si>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</si>
  <si>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</si>
  <si>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</si>
  <si>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</si>
  <si>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</si>
  <si>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</si>
  <si>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</si>
  <si>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</si>
  <si>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</si>
  <si>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</si>
  <si>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</si>
  <si>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</si>
  <si>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</si>
  <si>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</si>
  <si>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</si>
  <si>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</si>
  <si>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</si>
  <si>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Expenses by Vendor Summary</t>
  </si>
  <si>
    <t>Vendor</t>
  </si>
  <si>
    <t/>
  </si>
  <si>
    <t>AdSortium, LLC</t>
  </si>
  <si>
    <t>Aflac</t>
  </si>
  <si>
    <t>Amazon</t>
  </si>
  <si>
    <t>Amie L Pilla</t>
  </si>
  <si>
    <t>Canon Financial Services, Inc.</t>
  </si>
  <si>
    <t>Cardmember Services</t>
  </si>
  <si>
    <t>Center Point Large Print</t>
  </si>
  <si>
    <t>Charles Schwab</t>
  </si>
  <si>
    <t>Colorado Library Consortium</t>
  </si>
  <si>
    <t>Comcast - Business</t>
  </si>
  <si>
    <t>Diane J Trojahn</t>
  </si>
  <si>
    <t>EasyTrack Payroll</t>
  </si>
  <si>
    <t>Elizabeth Lowham</t>
  </si>
  <si>
    <t>EnvisionWare, Inc.</t>
  </si>
  <si>
    <t>Hay's Market</t>
  </si>
  <si>
    <t>Hermione Hoby</t>
  </si>
  <si>
    <t>Ingram</t>
  </si>
  <si>
    <t>J&amp;B Simply Clean Carpets</t>
  </si>
  <si>
    <t>Johnson Controls Security Solutions</t>
  </si>
  <si>
    <t>Kristin Koval</t>
  </si>
  <si>
    <t>Laura Resau</t>
  </si>
  <si>
    <t>Lulu Buck</t>
  </si>
  <si>
    <t>Margaret Mizushima</t>
  </si>
  <si>
    <t>Midwest Tape</t>
  </si>
  <si>
    <t>Minuteman Press</t>
  </si>
  <si>
    <t>Mountain View Commercial Cleaning</t>
  </si>
  <si>
    <t>Nina McConigley</t>
  </si>
  <si>
    <t>Public Sector Health Care Group</t>
  </si>
  <si>
    <t>Rallo's</t>
  </si>
  <si>
    <t>RCOM Computer Services</t>
  </si>
  <si>
    <t>R. L. Maizes</t>
  </si>
  <si>
    <t>Samantha Green</t>
  </si>
  <si>
    <t>Seter, Vander Wall &amp; Mielke, P.C.</t>
  </si>
  <si>
    <t>Town of Berthoud - Water</t>
  </si>
  <si>
    <t>United Waste Systems</t>
  </si>
  <si>
    <t>Xcel Energy</t>
  </si>
  <si>
    <t>TOTAL</t>
  </si>
  <si>
    <t>As of October 31, 2025</t>
  </si>
  <si>
    <t>12000 Property Taxes Receivable</t>
  </si>
  <si>
    <t>23000 Deferred Infows Property Taxes</t>
  </si>
  <si>
    <t>Accrual Basis Thursday, November 13, 2025 11:43 PM GMTZ</t>
  </si>
  <si>
    <t xml:space="preserve">      Memorials/Designated</t>
  </si>
  <si>
    <t>Thursday, Nov 13, 2025 03:42:46 PM GMT-8 - Accrual Basis</t>
  </si>
  <si>
    <t>January 1-October 31, 2025</t>
  </si>
  <si>
    <t>Ace Hardware</t>
  </si>
  <si>
    <t>AJ's Backflow Testing , LLC</t>
  </si>
  <si>
    <t>Amanda Bumgarner</t>
  </si>
  <si>
    <t>Amber Walters</t>
  </si>
  <si>
    <t>Association of Rural and Small Libraries</t>
  </si>
  <si>
    <t>Automatic Access, Inc</t>
  </si>
  <si>
    <t>Berthoud Ace Hardware</t>
  </si>
  <si>
    <t>Berthoud Chamber</t>
  </si>
  <si>
    <t>Berthoud Historical Society</t>
  </si>
  <si>
    <t>Berthoud Weekly Surveyor</t>
  </si>
  <si>
    <t>Broad Reach</t>
  </si>
  <si>
    <t>Christy M Headrick</t>
  </si>
  <si>
    <t>Colorado Association of Libraries</t>
  </si>
  <si>
    <t>Colorado Special Districts Property and L</t>
  </si>
  <si>
    <t>CU Science Discovery</t>
  </si>
  <si>
    <t>Data Shield</t>
  </si>
  <si>
    <t>Deepali Lindblom</t>
  </si>
  <si>
    <t>Del Norte Public Library</t>
  </si>
  <si>
    <t>Demco - supplies</t>
  </si>
  <si>
    <t>Denise Gard</t>
  </si>
  <si>
    <t>Diamond Lake Books</t>
  </si>
  <si>
    <t>Diane Trojahn</t>
  </si>
  <si>
    <t>Educate Station</t>
  </si>
  <si>
    <t>Emmy Ingham</t>
  </si>
  <si>
    <t>Employers Council , Inc.</t>
  </si>
  <si>
    <t>Eric Lubbers</t>
  </si>
  <si>
    <t>Flatirons Marketing &amp; Print</t>
  </si>
  <si>
    <t>Friends of the Gardens on Spring Creek</t>
  </si>
  <si>
    <t>Grand County Library District</t>
  </si>
  <si>
    <t>Hula Hoop Empire</t>
  </si>
  <si>
    <t>InfoUSA Marketing, Inc.</t>
  </si>
  <si>
    <t>Innovation Forge LLC</t>
  </si>
  <si>
    <t>Integrated Safety Service</t>
  </si>
  <si>
    <t>John Baiamonte, CPA LLC</t>
  </si>
  <si>
    <t>Junko Goodwin</t>
  </si>
  <si>
    <t>Kanopy Inc.</t>
  </si>
  <si>
    <t>Kathleen Donnelly</t>
  </si>
  <si>
    <t>Kathleen Mitchell</t>
  </si>
  <si>
    <t>Know Buddy Resources</t>
  </si>
  <si>
    <t>koha-US, Inc.</t>
  </si>
  <si>
    <t>Kris Wood</t>
  </si>
  <si>
    <t>Lamar Public Library</t>
  </si>
  <si>
    <t>Lighthouse Writers Workshop</t>
  </si>
  <si>
    <t>McCrary and Sons LLC</t>
  </si>
  <si>
    <t>MetLife</t>
  </si>
  <si>
    <t>Minuteman Locksmithing</t>
  </si>
  <si>
    <t>Nuwav Information Systems</t>
  </si>
  <si>
    <t>ODP Business Solutions LLC</t>
  </si>
  <si>
    <t>OverDrive, Inc.</t>
  </si>
  <si>
    <t>Perma Card</t>
  </si>
  <si>
    <t>Pines and Plains Libraries - Kiowa Branch</t>
  </si>
  <si>
    <t>Poudre River Public Library District</t>
  </si>
  <si>
    <t>Prospective Business Solutions LLC</t>
  </si>
  <si>
    <t>Reporter-Herald</t>
  </si>
  <si>
    <t>Security Public Library</t>
  </si>
  <si>
    <t>Smart Apple Media</t>
  </si>
  <si>
    <t>Spanish Peaks Library District</t>
  </si>
  <si>
    <t>Swank Movie Licensing USA</t>
  </si>
  <si>
    <t>The Library Store</t>
  </si>
  <si>
    <t>Think 360 Arts</t>
  </si>
  <si>
    <t>Times-Call</t>
  </si>
  <si>
    <t>Town of Berthoud</t>
  </si>
  <si>
    <t>Wildfire Community Arts Center</t>
  </si>
  <si>
    <t>Willow Lane Education</t>
  </si>
  <si>
    <t>WT Cox Information Services</t>
  </si>
  <si>
    <t>Date</t>
  </si>
  <si>
    <t>Name</t>
  </si>
  <si>
    <t>Amount</t>
  </si>
  <si>
    <t>SPROUTS FARMERS MARK   THORNTON      CO</t>
  </si>
  <si>
    <t>Youth Programming</t>
  </si>
  <si>
    <t>USPS PO 0707200378     BERTHOUD      CO</t>
  </si>
  <si>
    <t>Return DVDs</t>
  </si>
  <si>
    <t>DOLLAR TREE            THORNTON      CO</t>
  </si>
  <si>
    <t>MICHAELS STORES 1610   THORNTON      CO</t>
  </si>
  <si>
    <t>OTC BRANDS  *OTC BRAND OMAHA         NE</t>
  </si>
  <si>
    <t>Adobe                  San Jose      CA</t>
  </si>
  <si>
    <t>Monthly subscription</t>
  </si>
  <si>
    <t>LAKESHORE LEARNING MAT CARSON        CA</t>
  </si>
  <si>
    <t>AMERICAN LIBRARY ASSOC CHICAGO       IL</t>
  </si>
  <si>
    <t>Class for Diane</t>
  </si>
  <si>
    <t>TST* GRAZE CRAZE - LOV LOVELAND      CO</t>
  </si>
  <si>
    <t>Staff Appreciation lunch</t>
  </si>
  <si>
    <t>WM SUPERCENTER #3867   WESTMINSTER   CO</t>
  </si>
  <si>
    <t>INTERNET PAYMENT THANK YOU</t>
  </si>
  <si>
    <t>FSP*ALLEGRA LOVELAND   LOVELAND      CO</t>
  </si>
  <si>
    <t>Inserts for customer packets</t>
  </si>
  <si>
    <t>KING SOOPERS #0024     THORNTON      CO</t>
  </si>
  <si>
    <t>INTUIT *QBooks Live    SAN DIEGO     CA</t>
  </si>
  <si>
    <t>August 2025</t>
  </si>
  <si>
    <t>November 2025 update</t>
  </si>
  <si>
    <t>Previous Year's Total Taxable Assessed Valuation</t>
  </si>
  <si>
    <t>New Construction</t>
  </si>
  <si>
    <t>Current Year's Total Taxable Assessed Valuation</t>
  </si>
  <si>
    <t>Previous Year multiplied by mill levy (revenue)</t>
  </si>
  <si>
    <t>Collected in 2025</t>
  </si>
  <si>
    <t>Previous Year multipled by 5.25%</t>
  </si>
  <si>
    <t>Budget Year 2026 base revenue (qualified property tax revenue)</t>
  </si>
  <si>
    <t>Budget Year 2026 New Construction multiplied by mill levy</t>
  </si>
  <si>
    <t>Increased Production of Producing Mine</t>
  </si>
  <si>
    <t>Annexations/Inclusions</t>
  </si>
  <si>
    <t>Previously Exempt Federal Property</t>
  </si>
  <si>
    <t>Previously Expired TIF Funding</t>
  </si>
  <si>
    <t>Budget Year 2026 base revenue plus new construction</t>
  </si>
  <si>
    <t>(total allowable revenue)</t>
  </si>
  <si>
    <t>Division to get mill levy amount</t>
  </si>
  <si>
    <t>next year's mill levy</t>
  </si>
  <si>
    <t>(total allowable revenue divided by current year's gross assessed valuation)</t>
  </si>
  <si>
    <t>Revenues</t>
  </si>
  <si>
    <t>December Update</t>
  </si>
  <si>
    <t>Fiscal Years 2024-2026</t>
  </si>
  <si>
    <t>2024 Actual</t>
  </si>
  <si>
    <t>2025 Budgeted</t>
  </si>
  <si>
    <t>2025 Projected</t>
  </si>
  <si>
    <t>2026 Budgeted</t>
  </si>
  <si>
    <t>Property Tax (mill levy 2.4%)</t>
  </si>
  <si>
    <t>Specific Ownership Tax</t>
  </si>
  <si>
    <t>Interest</t>
  </si>
  <si>
    <t>Grants</t>
  </si>
  <si>
    <t>Donations</t>
  </si>
  <si>
    <t>Fees</t>
  </si>
  <si>
    <t>Copies</t>
  </si>
  <si>
    <t>Total Revenue</t>
  </si>
  <si>
    <t>Release from Reserves *</t>
  </si>
  <si>
    <t>* not additional revenue, funds already accounted for on the balance sheet as undesignated reserves</t>
  </si>
  <si>
    <t>Actual 2024</t>
  </si>
  <si>
    <t>Budgeted 2025</t>
  </si>
  <si>
    <t>Projected 2025</t>
  </si>
  <si>
    <t>Budgeted 2026</t>
  </si>
  <si>
    <t>Accountant/Payroll</t>
  </si>
  <si>
    <t>Advertising</t>
  </si>
  <si>
    <t>Attorney</t>
  </si>
  <si>
    <t>Collection Development</t>
  </si>
  <si>
    <t>Audiovisual</t>
  </si>
  <si>
    <t>Adult Audiobooks</t>
  </si>
  <si>
    <t>Youth Audiobooks</t>
  </si>
  <si>
    <t>Adult DVDs</t>
  </si>
  <si>
    <t>Youth DVDs</t>
  </si>
  <si>
    <t>Digital Materials</t>
  </si>
  <si>
    <t>Ebooks</t>
  </si>
  <si>
    <t>Online Resources</t>
  </si>
  <si>
    <t>Video Streaming</t>
  </si>
  <si>
    <t>Print Materials</t>
  </si>
  <si>
    <t>Adult</t>
  </si>
  <si>
    <t>Youth</t>
  </si>
  <si>
    <t>Periodicals</t>
  </si>
  <si>
    <t>Copier Lease</t>
  </si>
  <si>
    <t>Courier</t>
  </si>
  <si>
    <t>Furnishings</t>
  </si>
  <si>
    <t>Hospitality</t>
  </si>
  <si>
    <t>Insurance</t>
  </si>
  <si>
    <t>Medical</t>
  </si>
  <si>
    <t>Property and Liability</t>
  </si>
  <si>
    <t>Workers Comp</t>
  </si>
  <si>
    <t>Lost Book Refund</t>
  </si>
  <si>
    <t>Maintenance</t>
  </si>
  <si>
    <t>Carpet Cleaning</t>
  </si>
  <si>
    <t>Custodial Services</t>
  </si>
  <si>
    <t>Lawn Care/Snow Removal</t>
  </si>
  <si>
    <t>Repairs</t>
  </si>
  <si>
    <t>Security/Alarm</t>
  </si>
  <si>
    <t>Supplies</t>
  </si>
  <si>
    <t>Window Cleaning</t>
  </si>
  <si>
    <t>Payroll Expense</t>
  </si>
  <si>
    <t>Payroll Tax</t>
  </si>
  <si>
    <t>Salaries</t>
  </si>
  <si>
    <t>Pension</t>
  </si>
  <si>
    <t>Professional Development</t>
  </si>
  <si>
    <t>Professional Memberships</t>
  </si>
  <si>
    <t>Programming</t>
  </si>
  <si>
    <t>Reserves</t>
  </si>
  <si>
    <t>Library Supplies</t>
  </si>
  <si>
    <t>Office Supplies</t>
  </si>
  <si>
    <t>Programming Supplies</t>
  </si>
  <si>
    <t>Staff Appreciation</t>
  </si>
  <si>
    <t>Tax Collection Fees</t>
  </si>
  <si>
    <t>Technology</t>
  </si>
  <si>
    <t>Computer Maintenance</t>
  </si>
  <si>
    <t>Hardware</t>
  </si>
  <si>
    <t>ILS</t>
  </si>
  <si>
    <t>Office Equipment</t>
  </si>
  <si>
    <t>Software</t>
  </si>
  <si>
    <t>Telephone</t>
  </si>
  <si>
    <t>Utilities</t>
  </si>
  <si>
    <t>Data Connection (phone, inter)</t>
  </si>
  <si>
    <t>Power</t>
  </si>
  <si>
    <t>Trash Removal</t>
  </si>
  <si>
    <t>Water</t>
  </si>
  <si>
    <t>Totals</t>
  </si>
  <si>
    <t>Total Asset Balance</t>
  </si>
  <si>
    <t>Beginning Total Assets</t>
  </si>
  <si>
    <t>Ending Total Assets</t>
  </si>
  <si>
    <t>Ending Asset Designations</t>
  </si>
  <si>
    <t>Emergency Reserve (TABOR)</t>
  </si>
  <si>
    <t>Literacy Reserve</t>
  </si>
  <si>
    <t>Building Reserves</t>
  </si>
  <si>
    <t>Operating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</si>
</sst>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$#,##0.00"/>
    <numFmt numFmtId="165" formatCode="#,##0.00\ _€"/>
    <numFmt numFmtId="166" formatCode="&quot;$&quot;* #,##0.00\ _€"/>
    <numFmt numFmtId="167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1"/>
    <xf numFmtId="0" fontId="9" fillId="0" borderId="0"/>
    <xf numFmtId="43" fontId="1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9" fillId="0" borderId="0" xfId="3"/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8" fillId="0" borderId="2" xfId="1" applyFont="1" applyBorder="1" applyAlignment="1">
      <alignment horizontal="left" wrapText="1"/>
    </xf>
    <xf numFmtId="14" fontId="0" fillId="0" borderId="0" xfId="0" applyNumberFormat="1"/>
    <xf numFmtId="49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2" borderId="0" xfId="0" applyFill="1"/>
    <xf numFmtId="0" fontId="16" fillId="0" borderId="0" xfId="0" applyFont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5" xfId="0" applyBorder="1"/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167" fontId="0" fillId="0" borderId="0" xfId="4" applyNumberFormat="1" applyFont="1" applyBorder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3" fontId="0" fillId="0" borderId="5" xfId="4" applyNumberFormat="1" applyFont="1" applyFill="1" applyBorder="1" applyAlignment="1">
      <alignment horizontal="left"/>
    </xf>
    <xf numFmtId="1" fontId="0" fillId="0" borderId="5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49" fontId="16" fillId="0" borderId="0" xfId="0" applyNumberFormat="1" applyFont="1"/>
    <xf numFmtId="0" fontId="16" fillId="0" borderId="5" xfId="0" applyFont="1" applyBorder="1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0" fillId="0" borderId="0" xfId="3" applyFont="1" applyAlignment="1">
      <alignment horizontal="center"/>
    </xf>
    <xf numFmtId="0" fontId="9" fillId="0" borderId="0" xfId="3"/>
    <xf numFmtId="0" fontId="11" fillId="0" borderId="0" xfId="3" applyFont="1" applyAlignment="1">
      <alignment horizontal="center"/>
    </xf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4" fillId="0" borderId="0" xfId="3" applyFont="1" applyAlignment="1">
      <alignment horizontal="center"/>
    </xf>
  </cellXfs>
  <cellStyles count="5">
    <cellStyle name="Comma" xfId="4" builtinId="3"/>
    <cellStyle name="HeaderCellStyle" xfId="2" xr:uid="{A3B5F308-07CC-46AD-829A-77E76ECC7340}"/>
    <cellStyle name="Normal" xfId="0" builtinId="0"/>
    <cellStyle name="Normal 2" xfId="1" xr:uid="{26B6051D-F6D5-4DD3-98C6-204413BC670E}"/>
    <cellStyle name="Normal 3" xfId="3" xr:uid="{7F1B0B22-1BB9-4668-8AC0-097B777C6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C829-1CDB-4971-B417-18051C487E79}">
  <dimension ref="A1:I20"/>
  <sheetViews>
    <sheetView tabSelected="1" workbookViewId="0">
      <selection activeCell="H1" sqref="H1"/>
    </sheetView>
  </sheetViews>
  <sheetFormatPr defaultRowHeight="14.4" x14ac:dyDescent="0.3"/>
  <cols>
    <col min="6" max="6" width="11.5546875" bestFit="1" customWidth="1"/>
    <col min="9" max="9" width="12.5546875" bestFit="1" customWidth="1"/>
  </cols>
  <sheetData>
    <row r="1" spans="1:9" x14ac:dyDescent="0.3">
      <c r="F1" s="29" t="s">
        <v>309</v>
      </c>
      <c r="H1" t="s">
        <v>310</v>
      </c>
    </row>
    <row r="2" spans="1:9" x14ac:dyDescent="0.3">
      <c r="A2" t="s">
        <v>311</v>
      </c>
      <c r="F2" s="30">
        <v>388624361</v>
      </c>
      <c r="I2" s="30">
        <v>388624361</v>
      </c>
    </row>
    <row r="3" spans="1:9" x14ac:dyDescent="0.3">
      <c r="A3" t="s">
        <v>312</v>
      </c>
      <c r="F3" s="30">
        <v>10970551</v>
      </c>
      <c r="I3" s="30">
        <v>10970561</v>
      </c>
    </row>
    <row r="4" spans="1:9" x14ac:dyDescent="0.3">
      <c r="A4" t="s">
        <v>313</v>
      </c>
      <c r="F4" s="30">
        <v>429409016</v>
      </c>
      <c r="I4" s="30">
        <v>427502367</v>
      </c>
    </row>
    <row r="5" spans="1:9" x14ac:dyDescent="0.3">
      <c r="F5" s="30"/>
    </row>
    <row r="6" spans="1:9" x14ac:dyDescent="0.3">
      <c r="A6" t="s">
        <v>314</v>
      </c>
      <c r="B6" t="s">
        <v>315</v>
      </c>
      <c r="F6" s="31">
        <f>F2*0.0024</f>
        <v>932698.46639999992</v>
      </c>
      <c r="I6" s="31">
        <f>I2*0.0024</f>
        <v>932698.46639999992</v>
      </c>
    </row>
    <row r="7" spans="1:9" x14ac:dyDescent="0.3">
      <c r="A7" t="s">
        <v>316</v>
      </c>
      <c r="F7" s="31">
        <f>F6*0.0525</f>
        <v>48966.669485999992</v>
      </c>
      <c r="I7" s="31">
        <f>I6*0.0525</f>
        <v>48966.669485999992</v>
      </c>
    </row>
    <row r="8" spans="1:9" x14ac:dyDescent="0.3">
      <c r="A8" t="s">
        <v>317</v>
      </c>
      <c r="F8" s="31">
        <f>F6+F7</f>
        <v>981665.13588599989</v>
      </c>
      <c r="I8" s="31">
        <f>I6+I7</f>
        <v>981665.13588599989</v>
      </c>
    </row>
    <row r="10" spans="1:9" x14ac:dyDescent="0.3">
      <c r="A10" t="s">
        <v>318</v>
      </c>
      <c r="F10" s="31">
        <f>F3*0.0024</f>
        <v>26329.322399999997</v>
      </c>
      <c r="I10" s="31">
        <f>I3*0.0024</f>
        <v>26329.346399999999</v>
      </c>
    </row>
    <row r="11" spans="1:9" x14ac:dyDescent="0.3">
      <c r="B11" t="s">
        <v>319</v>
      </c>
      <c r="F11" s="31"/>
      <c r="I11" s="31">
        <v>0</v>
      </c>
    </row>
    <row r="12" spans="1:9" x14ac:dyDescent="0.3">
      <c r="B12" t="s">
        <v>320</v>
      </c>
      <c r="F12" s="31"/>
      <c r="I12" s="31">
        <v>0</v>
      </c>
    </row>
    <row r="13" spans="1:9" x14ac:dyDescent="0.3">
      <c r="B13" t="s">
        <v>321</v>
      </c>
      <c r="F13" s="31"/>
      <c r="I13" s="31">
        <v>0</v>
      </c>
    </row>
    <row r="14" spans="1:9" x14ac:dyDescent="0.3">
      <c r="B14" t="s">
        <v>322</v>
      </c>
      <c r="F14" s="31"/>
      <c r="I14" s="31">
        <v>0</v>
      </c>
    </row>
    <row r="16" spans="1:9" x14ac:dyDescent="0.3">
      <c r="A16" t="s">
        <v>323</v>
      </c>
      <c r="F16">
        <f>F8+F10</f>
        <v>1007994.4582859998</v>
      </c>
      <c r="I16" s="31">
        <f>I8+I10</f>
        <v>1007994.4822859999</v>
      </c>
    </row>
    <row r="17" spans="1:9" x14ac:dyDescent="0.3">
      <c r="B17" t="s">
        <v>324</v>
      </c>
    </row>
    <row r="19" spans="1:9" x14ac:dyDescent="0.3">
      <c r="A19" t="s">
        <v>325</v>
      </c>
      <c r="F19" s="32">
        <f>F16/F4</f>
        <v>2.3473993808411321E-3</v>
      </c>
      <c r="G19" t="s">
        <v>326</v>
      </c>
      <c r="I19" s="32">
        <f>I16/I4</f>
        <v>2.357868774761661E-3</v>
      </c>
    </row>
    <row r="20" spans="1:9" x14ac:dyDescent="0.3">
      <c r="B20" t="s">
        <v>327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96B9-368E-44BC-92B3-2C3119C46748}">
  <dimension ref="A1:J15"/>
  <sheetViews>
    <sheetView workbookViewId="0">
      <selection activeCell="G12" sqref="G12"/>
    </sheetView>
  </sheetViews>
  <sheetFormatPr defaultRowHeight="14.4" x14ac:dyDescent="0.3"/>
  <cols>
    <col min="4" max="4" width="18.33203125" customWidth="1"/>
    <col min="5" max="5" width="19.33203125" customWidth="1"/>
    <col min="6" max="6" width="17.33203125" customWidth="1"/>
    <col min="7" max="7" width="33" customWidth="1"/>
    <col min="8" max="8" width="24.33203125" customWidth="1"/>
  </cols>
  <sheetData>
    <row r="1" spans="1:10" x14ac:dyDescent="0.3">
      <c r="A1" s="33" t="s">
        <v>328</v>
      </c>
      <c r="C1" s="33" t="s">
        <v>329</v>
      </c>
      <c r="E1" s="33" t="s">
        <v>330</v>
      </c>
      <c r="G1" s="33" t="s">
        <v>1</v>
      </c>
    </row>
    <row r="2" spans="1:10" x14ac:dyDescent="0.3">
      <c r="A2" s="33"/>
    </row>
    <row r="3" spans="1:10" x14ac:dyDescent="0.3">
      <c r="A3" s="33"/>
    </row>
    <row r="4" spans="1:10" x14ac:dyDescent="0.3">
      <c r="A4" s="34"/>
      <c r="B4" s="35"/>
      <c r="C4" s="35"/>
      <c r="D4" s="36" t="s">
        <v>331</v>
      </c>
      <c r="E4" s="37" t="s">
        <v>332</v>
      </c>
      <c r="F4" s="38" t="s">
        <v>333</v>
      </c>
      <c r="G4" s="38" t="s">
        <v>334</v>
      </c>
    </row>
    <row r="5" spans="1:10" x14ac:dyDescent="0.3">
      <c r="A5" s="34" t="s">
        <v>335</v>
      </c>
      <c r="B5" s="38"/>
      <c r="C5" s="38"/>
      <c r="D5" s="39">
        <v>948714.21</v>
      </c>
      <c r="E5" s="40">
        <v>934395</v>
      </c>
      <c r="F5" s="40">
        <v>934395</v>
      </c>
      <c r="G5" s="40">
        <v>1007994.48</v>
      </c>
      <c r="H5" s="41"/>
      <c r="J5" s="42"/>
    </row>
    <row r="6" spans="1:10" x14ac:dyDescent="0.3">
      <c r="A6" s="34" t="s">
        <v>336</v>
      </c>
      <c r="B6" s="38"/>
      <c r="C6" s="38"/>
      <c r="D6" s="39">
        <v>55140.9</v>
      </c>
      <c r="E6" s="40">
        <v>45000</v>
      </c>
      <c r="F6" s="40">
        <v>45000</v>
      </c>
      <c r="G6" s="40">
        <v>45000</v>
      </c>
      <c r="H6" s="41"/>
      <c r="J6" s="42"/>
    </row>
    <row r="7" spans="1:10" x14ac:dyDescent="0.3">
      <c r="A7" s="34" t="s">
        <v>337</v>
      </c>
      <c r="B7" s="38"/>
      <c r="C7" s="38"/>
      <c r="D7" s="39">
        <v>8869.09</v>
      </c>
      <c r="E7" s="40">
        <v>2500</v>
      </c>
      <c r="F7" s="40">
        <v>24000</v>
      </c>
      <c r="G7" s="40">
        <v>15000</v>
      </c>
      <c r="H7" s="41"/>
      <c r="J7" s="42"/>
    </row>
    <row r="8" spans="1:10" x14ac:dyDescent="0.3">
      <c r="A8" s="34" t="s">
        <v>338</v>
      </c>
      <c r="B8" s="38"/>
      <c r="C8" s="38"/>
      <c r="D8" s="39">
        <v>9202</v>
      </c>
      <c r="E8" s="40">
        <v>9200</v>
      </c>
      <c r="F8" s="40">
        <v>11500</v>
      </c>
      <c r="G8" s="40">
        <v>7000</v>
      </c>
      <c r="H8" s="41"/>
      <c r="J8" s="42"/>
    </row>
    <row r="9" spans="1:10" x14ac:dyDescent="0.3">
      <c r="A9" s="34" t="s">
        <v>339</v>
      </c>
      <c r="B9" s="38"/>
      <c r="C9" s="38"/>
      <c r="D9" s="39">
        <f>6076.7+183.2</f>
        <v>6259.9</v>
      </c>
      <c r="E9" s="40">
        <v>3500</v>
      </c>
      <c r="F9" s="40">
        <v>5000</v>
      </c>
      <c r="G9" s="40">
        <v>3500</v>
      </c>
      <c r="H9" s="41"/>
      <c r="J9" s="42"/>
    </row>
    <row r="10" spans="1:10" x14ac:dyDescent="0.3">
      <c r="A10" s="34" t="s">
        <v>340</v>
      </c>
      <c r="B10" s="38"/>
      <c r="C10" s="38"/>
      <c r="D10" s="39">
        <v>2051.87</v>
      </c>
      <c r="E10" s="43">
        <v>500</v>
      </c>
      <c r="F10" s="40">
        <v>1000</v>
      </c>
      <c r="G10" s="43">
        <v>500</v>
      </c>
      <c r="H10" s="41"/>
      <c r="J10" s="42"/>
    </row>
    <row r="11" spans="1:10" x14ac:dyDescent="0.3">
      <c r="A11" s="34" t="s">
        <v>341</v>
      </c>
      <c r="B11" s="38"/>
      <c r="C11" s="38"/>
      <c r="D11" s="39">
        <v>2380.88</v>
      </c>
      <c r="E11" s="40">
        <v>1700</v>
      </c>
      <c r="F11" s="40">
        <v>2000</v>
      </c>
      <c r="G11" s="40">
        <v>2000</v>
      </c>
      <c r="H11" s="41"/>
      <c r="J11" s="42"/>
    </row>
    <row r="12" spans="1:10" x14ac:dyDescent="0.3">
      <c r="A12" s="34" t="s">
        <v>342</v>
      </c>
      <c r="B12" s="38"/>
      <c r="C12" s="38"/>
      <c r="D12" s="39">
        <f>SUM(D5:D11)</f>
        <v>1032618.85</v>
      </c>
      <c r="E12" s="40">
        <f>SUM(E5:E11)</f>
        <v>996795</v>
      </c>
      <c r="F12" s="40">
        <f>SUM(F5:F11)</f>
        <v>1022895</v>
      </c>
      <c r="G12" s="40">
        <f>SUM(G5:G11)</f>
        <v>1080994.48</v>
      </c>
      <c r="H12" s="41"/>
      <c r="J12" s="42"/>
    </row>
    <row r="13" spans="1:10" x14ac:dyDescent="0.3">
      <c r="E13" s="44"/>
    </row>
    <row r="14" spans="1:10" x14ac:dyDescent="0.3">
      <c r="A14" s="34" t="s">
        <v>343</v>
      </c>
      <c r="B14" s="38"/>
      <c r="C14" s="38"/>
      <c r="D14" s="45">
        <v>0</v>
      </c>
      <c r="E14" s="46">
        <v>0</v>
      </c>
      <c r="F14" s="40">
        <v>0</v>
      </c>
      <c r="G14" s="40">
        <v>0</v>
      </c>
      <c r="H14" s="41"/>
      <c r="J14" s="42"/>
    </row>
    <row r="15" spans="1:10" x14ac:dyDescent="0.3">
      <c r="B15" t="s">
        <v>344</v>
      </c>
    </row>
  </sheetData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BA38-64B2-49FF-B4ED-D978CFA58BC3}">
  <dimension ref="A1:F70"/>
  <sheetViews>
    <sheetView workbookViewId="0">
      <selection activeCell="A14" sqref="A14"/>
    </sheetView>
  </sheetViews>
  <sheetFormatPr defaultRowHeight="14.4" x14ac:dyDescent="0.3"/>
  <cols>
    <col min="2" max="2" width="27.88671875" customWidth="1"/>
    <col min="3" max="3" width="18" customWidth="1"/>
    <col min="4" max="4" width="16.44140625" customWidth="1"/>
    <col min="5" max="5" width="17.44140625" customWidth="1"/>
    <col min="6" max="6" width="15.44140625" customWidth="1"/>
  </cols>
  <sheetData>
    <row r="1" spans="1:6" x14ac:dyDescent="0.3">
      <c r="A1" s="33" t="s">
        <v>95</v>
      </c>
      <c r="C1" s="33" t="s">
        <v>330</v>
      </c>
      <c r="E1" s="33" t="s">
        <v>1</v>
      </c>
    </row>
    <row r="2" spans="1:6" x14ac:dyDescent="0.3">
      <c r="A2" s="33"/>
      <c r="C2" s="33"/>
    </row>
    <row r="3" spans="1:6" x14ac:dyDescent="0.3">
      <c r="A3" s="38"/>
      <c r="B3" s="38"/>
      <c r="C3" s="38" t="s">
        <v>345</v>
      </c>
      <c r="D3" s="38" t="s">
        <v>346</v>
      </c>
      <c r="E3" s="38" t="s">
        <v>347</v>
      </c>
      <c r="F3" s="38" t="s">
        <v>348</v>
      </c>
    </row>
    <row r="4" spans="1:6" x14ac:dyDescent="0.3">
      <c r="A4" s="38" t="s">
        <v>349</v>
      </c>
      <c r="B4" s="38"/>
      <c r="C4" s="40">
        <v>10082.4</v>
      </c>
      <c r="D4" s="47">
        <v>12000</v>
      </c>
      <c r="E4" s="40">
        <v>12000</v>
      </c>
      <c r="F4" s="47">
        <v>12500</v>
      </c>
    </row>
    <row r="5" spans="1:6" x14ac:dyDescent="0.3">
      <c r="A5" s="38" t="s">
        <v>350</v>
      </c>
      <c r="B5" s="38"/>
      <c r="C5" s="40">
        <v>7051.23</v>
      </c>
      <c r="D5" s="47">
        <v>12000</v>
      </c>
      <c r="E5" s="48">
        <v>5000</v>
      </c>
      <c r="F5" s="47">
        <v>12000</v>
      </c>
    </row>
    <row r="6" spans="1:6" x14ac:dyDescent="0.3">
      <c r="A6" s="38" t="s">
        <v>351</v>
      </c>
      <c r="B6" s="38"/>
      <c r="C6" s="40">
        <v>1818.72</v>
      </c>
      <c r="D6" s="47">
        <v>15000</v>
      </c>
      <c r="E6" s="40">
        <v>3500</v>
      </c>
      <c r="F6" s="47">
        <v>20000</v>
      </c>
    </row>
    <row r="7" spans="1:6" x14ac:dyDescent="0.3">
      <c r="A7" s="38" t="s">
        <v>352</v>
      </c>
      <c r="B7" s="38"/>
      <c r="C7" s="43"/>
      <c r="D7" s="38"/>
      <c r="E7" s="43"/>
      <c r="F7" s="38"/>
    </row>
    <row r="8" spans="1:6" x14ac:dyDescent="0.3">
      <c r="A8" s="38" t="s">
        <v>353</v>
      </c>
      <c r="B8" s="38"/>
      <c r="C8" s="43"/>
      <c r="D8" s="38"/>
      <c r="E8" s="43"/>
      <c r="F8" s="38"/>
    </row>
    <row r="9" spans="1:6" x14ac:dyDescent="0.3">
      <c r="A9" s="38"/>
      <c r="B9" s="38" t="s">
        <v>354</v>
      </c>
      <c r="C9" s="40">
        <v>4828.8999999999996</v>
      </c>
      <c r="D9" s="47">
        <v>5000</v>
      </c>
      <c r="E9" s="40">
        <v>5000</v>
      </c>
      <c r="F9" s="47">
        <v>5000</v>
      </c>
    </row>
    <row r="10" spans="1:6" x14ac:dyDescent="0.3">
      <c r="A10" s="38"/>
      <c r="B10" s="38" t="s">
        <v>355</v>
      </c>
      <c r="C10" s="40">
        <v>1312.57</v>
      </c>
      <c r="D10" s="47">
        <v>1500</v>
      </c>
      <c r="E10" s="40">
        <v>1500</v>
      </c>
      <c r="F10" s="47">
        <v>1500</v>
      </c>
    </row>
    <row r="11" spans="1:6" x14ac:dyDescent="0.3">
      <c r="A11" s="38"/>
      <c r="B11" s="38" t="s">
        <v>356</v>
      </c>
      <c r="C11" s="40">
        <v>3626.34</v>
      </c>
      <c r="D11" s="47">
        <v>4000</v>
      </c>
      <c r="E11" s="40">
        <v>4000</v>
      </c>
      <c r="F11" s="47">
        <v>4000</v>
      </c>
    </row>
    <row r="12" spans="1:6" x14ac:dyDescent="0.3">
      <c r="A12" s="38"/>
      <c r="B12" s="38" t="s">
        <v>357</v>
      </c>
      <c r="C12" s="40">
        <v>1619.06</v>
      </c>
      <c r="D12" s="47">
        <v>1500</v>
      </c>
      <c r="E12" s="40">
        <v>1500</v>
      </c>
      <c r="F12" s="47">
        <v>1500</v>
      </c>
    </row>
    <row r="13" spans="1:6" x14ac:dyDescent="0.3">
      <c r="A13" s="38" t="s">
        <v>358</v>
      </c>
      <c r="B13" s="38"/>
      <c r="C13" s="43"/>
      <c r="D13" s="38"/>
      <c r="E13" s="43"/>
      <c r="F13" s="47"/>
    </row>
    <row r="14" spans="1:6" x14ac:dyDescent="0.3">
      <c r="A14" s="38"/>
      <c r="B14" s="38" t="s">
        <v>359</v>
      </c>
      <c r="C14" s="40">
        <v>5000</v>
      </c>
      <c r="D14" s="47">
        <v>6000</v>
      </c>
      <c r="E14" s="40">
        <v>11000</v>
      </c>
      <c r="F14" s="47">
        <v>10000</v>
      </c>
    </row>
    <row r="15" spans="1:6" x14ac:dyDescent="0.3">
      <c r="A15" s="38"/>
      <c r="B15" s="38" t="s">
        <v>360</v>
      </c>
      <c r="C15" s="40">
        <v>11311.56</v>
      </c>
      <c r="D15" s="47">
        <v>15000</v>
      </c>
      <c r="E15" s="40">
        <v>15000</v>
      </c>
      <c r="F15" s="47">
        <v>20000</v>
      </c>
    </row>
    <row r="16" spans="1:6" x14ac:dyDescent="0.3">
      <c r="A16" s="38"/>
      <c r="B16" s="38" t="s">
        <v>361</v>
      </c>
      <c r="C16" s="40">
        <v>1455</v>
      </c>
      <c r="D16" s="47">
        <v>1500</v>
      </c>
      <c r="E16" s="40">
        <v>4500</v>
      </c>
      <c r="F16" s="47">
        <v>4000</v>
      </c>
    </row>
    <row r="17" spans="1:6" x14ac:dyDescent="0.3">
      <c r="A17" s="38" t="s">
        <v>362</v>
      </c>
      <c r="B17" s="38"/>
      <c r="C17" s="43"/>
      <c r="D17" s="38"/>
      <c r="E17" s="43"/>
      <c r="F17" s="38"/>
    </row>
    <row r="18" spans="1:6" x14ac:dyDescent="0.3">
      <c r="A18" s="38"/>
      <c r="B18" s="38" t="s">
        <v>363</v>
      </c>
      <c r="C18" s="40">
        <v>15779.65</v>
      </c>
      <c r="D18" s="47">
        <v>13000</v>
      </c>
      <c r="E18" s="40">
        <v>13000</v>
      </c>
      <c r="F18" s="47">
        <v>14000</v>
      </c>
    </row>
    <row r="19" spans="1:6" x14ac:dyDescent="0.3">
      <c r="A19" s="38"/>
      <c r="B19" s="38" t="s">
        <v>364</v>
      </c>
      <c r="C19" s="40">
        <v>17794.09</v>
      </c>
      <c r="D19" s="47">
        <v>16000</v>
      </c>
      <c r="E19" s="40">
        <v>16000</v>
      </c>
      <c r="F19" s="47">
        <v>16000</v>
      </c>
    </row>
    <row r="20" spans="1:6" x14ac:dyDescent="0.3">
      <c r="A20" s="38"/>
      <c r="B20" s="38" t="s">
        <v>365</v>
      </c>
      <c r="C20" s="40">
        <v>5736.99</v>
      </c>
      <c r="D20" s="47">
        <v>4500</v>
      </c>
      <c r="E20" s="40">
        <v>5500</v>
      </c>
      <c r="F20" s="47">
        <v>5500</v>
      </c>
    </row>
    <row r="21" spans="1:6" x14ac:dyDescent="0.3">
      <c r="A21" s="38" t="s">
        <v>366</v>
      </c>
      <c r="B21" s="38"/>
      <c r="C21" s="40">
        <v>3501.67</v>
      </c>
      <c r="D21" s="47">
        <v>3500</v>
      </c>
      <c r="E21" s="40">
        <v>3500</v>
      </c>
      <c r="F21" s="47">
        <v>3500</v>
      </c>
    </row>
    <row r="22" spans="1:6" x14ac:dyDescent="0.3">
      <c r="A22" s="38" t="s">
        <v>367</v>
      </c>
      <c r="B22" s="38"/>
      <c r="C22" s="40">
        <v>4733.8500000000004</v>
      </c>
      <c r="D22" s="47">
        <v>5500</v>
      </c>
      <c r="E22" s="40">
        <v>4500</v>
      </c>
      <c r="F22" s="47">
        <v>5500</v>
      </c>
    </row>
    <row r="23" spans="1:6" x14ac:dyDescent="0.3">
      <c r="A23" s="38" t="s">
        <v>339</v>
      </c>
      <c r="B23" s="38"/>
      <c r="C23" s="40">
        <f>1017.5+5191.07+34.98</f>
        <v>6243.5499999999993</v>
      </c>
      <c r="D23" s="47">
        <v>3500</v>
      </c>
      <c r="E23" s="40">
        <v>5000</v>
      </c>
      <c r="F23" s="47">
        <v>3500</v>
      </c>
    </row>
    <row r="24" spans="1:6" x14ac:dyDescent="0.3">
      <c r="A24" s="38" t="s">
        <v>368</v>
      </c>
      <c r="B24" s="38"/>
      <c r="C24" s="40">
        <v>257.92</v>
      </c>
      <c r="D24" s="47">
        <v>3000</v>
      </c>
      <c r="E24" s="40">
        <v>500</v>
      </c>
      <c r="F24" s="47">
        <v>5000</v>
      </c>
    </row>
    <row r="25" spans="1:6" x14ac:dyDescent="0.3">
      <c r="A25" s="38" t="s">
        <v>338</v>
      </c>
      <c r="B25" s="38"/>
      <c r="C25" s="40">
        <v>9202</v>
      </c>
      <c r="D25" s="47">
        <v>9200</v>
      </c>
      <c r="E25" s="40">
        <v>11500</v>
      </c>
      <c r="F25" s="47">
        <v>7000</v>
      </c>
    </row>
    <row r="26" spans="1:6" x14ac:dyDescent="0.3">
      <c r="A26" s="38" t="s">
        <v>369</v>
      </c>
      <c r="B26" s="38"/>
      <c r="C26" s="49">
        <v>1210.54</v>
      </c>
      <c r="D26" s="47">
        <v>1000</v>
      </c>
      <c r="E26" s="40">
        <v>1000</v>
      </c>
      <c r="F26" s="47">
        <v>1500</v>
      </c>
    </row>
    <row r="27" spans="1:6" x14ac:dyDescent="0.3">
      <c r="A27" s="38" t="s">
        <v>370</v>
      </c>
      <c r="B27" s="38"/>
      <c r="C27" s="43"/>
      <c r="D27" s="38"/>
      <c r="E27" s="43"/>
      <c r="F27" s="38"/>
    </row>
    <row r="28" spans="1:6" x14ac:dyDescent="0.3">
      <c r="A28" s="38"/>
      <c r="B28" s="38" t="s">
        <v>371</v>
      </c>
      <c r="C28" s="40">
        <v>39199.75</v>
      </c>
      <c r="D28" s="47">
        <v>42500</v>
      </c>
      <c r="E28" s="40">
        <v>42500</v>
      </c>
      <c r="F28" s="47">
        <v>50500</v>
      </c>
    </row>
    <row r="29" spans="1:6" x14ac:dyDescent="0.3">
      <c r="A29" s="38"/>
      <c r="B29" s="38" t="s">
        <v>372</v>
      </c>
      <c r="C29" s="40">
        <v>10192</v>
      </c>
      <c r="D29" s="47">
        <v>12000</v>
      </c>
      <c r="E29" s="40">
        <v>12000</v>
      </c>
      <c r="F29" s="47">
        <v>14000</v>
      </c>
    </row>
    <row r="30" spans="1:6" x14ac:dyDescent="0.3">
      <c r="A30" s="38"/>
      <c r="B30" s="38" t="s">
        <v>373</v>
      </c>
      <c r="C30" s="43">
        <v>715</v>
      </c>
      <c r="D30" s="47">
        <v>2000</v>
      </c>
      <c r="E30" s="40">
        <v>2000</v>
      </c>
      <c r="F30" s="47">
        <v>2000</v>
      </c>
    </row>
    <row r="31" spans="1:6" x14ac:dyDescent="0.3">
      <c r="A31" s="38" t="s">
        <v>374</v>
      </c>
      <c r="B31" s="38"/>
      <c r="C31" s="49">
        <v>48.7</v>
      </c>
      <c r="D31" s="38">
        <v>300</v>
      </c>
      <c r="E31" s="43">
        <v>150</v>
      </c>
      <c r="F31" s="47">
        <v>300</v>
      </c>
    </row>
    <row r="32" spans="1:6" x14ac:dyDescent="0.3">
      <c r="A32" s="38" t="s">
        <v>375</v>
      </c>
      <c r="B32" s="38"/>
      <c r="C32" s="43"/>
      <c r="D32" s="38"/>
      <c r="E32" s="43"/>
      <c r="F32" s="38"/>
    </row>
    <row r="33" spans="1:6" x14ac:dyDescent="0.3">
      <c r="A33" s="38"/>
      <c r="B33" s="38" t="s">
        <v>376</v>
      </c>
      <c r="C33" s="43">
        <v>700</v>
      </c>
      <c r="D33" s="47">
        <v>3000</v>
      </c>
      <c r="E33" s="40">
        <v>700</v>
      </c>
      <c r="F33" s="47">
        <v>1500</v>
      </c>
    </row>
    <row r="34" spans="1:6" x14ac:dyDescent="0.3">
      <c r="A34" s="38"/>
      <c r="B34" s="38" t="s">
        <v>377</v>
      </c>
      <c r="C34" s="40">
        <v>8340</v>
      </c>
      <c r="D34" s="47">
        <v>10000</v>
      </c>
      <c r="E34" s="40">
        <v>10000</v>
      </c>
      <c r="F34" s="47">
        <v>10000</v>
      </c>
    </row>
    <row r="35" spans="1:6" x14ac:dyDescent="0.3">
      <c r="A35" s="38"/>
      <c r="B35" s="38" t="s">
        <v>378</v>
      </c>
      <c r="C35" s="40">
        <v>2701.4</v>
      </c>
      <c r="D35" s="47">
        <v>13500</v>
      </c>
      <c r="E35" s="40">
        <v>10000</v>
      </c>
      <c r="F35" s="47">
        <v>15000</v>
      </c>
    </row>
    <row r="36" spans="1:6" x14ac:dyDescent="0.3">
      <c r="A36" s="38"/>
      <c r="B36" s="38" t="s">
        <v>379</v>
      </c>
      <c r="C36" s="40">
        <v>97312.81</v>
      </c>
      <c r="D36" s="47">
        <v>25000</v>
      </c>
      <c r="E36" s="40">
        <v>10000</v>
      </c>
      <c r="F36" s="47">
        <v>25000</v>
      </c>
    </row>
    <row r="37" spans="1:6" x14ac:dyDescent="0.3">
      <c r="A37" s="38"/>
      <c r="B37" s="38" t="s">
        <v>380</v>
      </c>
      <c r="C37" s="40">
        <v>1078.3499999999999</v>
      </c>
      <c r="D37" s="47">
        <v>3500</v>
      </c>
      <c r="E37" s="40">
        <v>1200</v>
      </c>
      <c r="F37" s="47">
        <v>3500</v>
      </c>
    </row>
    <row r="38" spans="1:6" x14ac:dyDescent="0.3">
      <c r="A38" s="38"/>
      <c r="B38" s="38" t="s">
        <v>381</v>
      </c>
      <c r="C38" s="40">
        <v>1845.33</v>
      </c>
      <c r="D38" s="47">
        <v>2200</v>
      </c>
      <c r="E38" s="40">
        <v>1500</v>
      </c>
      <c r="F38" s="47">
        <v>3000</v>
      </c>
    </row>
    <row r="39" spans="1:6" x14ac:dyDescent="0.3">
      <c r="A39" s="38"/>
      <c r="B39" s="38" t="s">
        <v>382</v>
      </c>
      <c r="C39" s="40">
        <v>777</v>
      </c>
      <c r="D39" s="47">
        <v>1200</v>
      </c>
      <c r="E39" s="40">
        <v>1200</v>
      </c>
      <c r="F39" s="47">
        <v>1500</v>
      </c>
    </row>
    <row r="40" spans="1:6" x14ac:dyDescent="0.3">
      <c r="A40" s="38" t="s">
        <v>383</v>
      </c>
      <c r="B40" s="38"/>
      <c r="C40" s="43"/>
      <c r="D40" s="38"/>
      <c r="E40" s="43"/>
      <c r="F40" s="38"/>
    </row>
    <row r="41" spans="1:6" x14ac:dyDescent="0.3">
      <c r="A41" s="38"/>
      <c r="B41" s="38" t="s">
        <v>384</v>
      </c>
      <c r="C41" s="40">
        <v>30643.25</v>
      </c>
      <c r="D41" s="47">
        <v>46500</v>
      </c>
      <c r="E41" s="40">
        <v>46500</v>
      </c>
      <c r="F41" s="47">
        <v>50000</v>
      </c>
    </row>
    <row r="42" spans="1:6" x14ac:dyDescent="0.3">
      <c r="A42" s="38"/>
      <c r="B42" s="38" t="s">
        <v>385</v>
      </c>
      <c r="C42" s="40">
        <f>12558.21+362458.21</f>
        <v>375016.42000000004</v>
      </c>
      <c r="D42" s="47">
        <v>420000</v>
      </c>
      <c r="E42" s="40">
        <v>420000</v>
      </c>
      <c r="F42" s="47">
        <v>425000</v>
      </c>
    </row>
    <row r="43" spans="1:6" x14ac:dyDescent="0.3">
      <c r="A43" s="38" t="s">
        <v>386</v>
      </c>
      <c r="B43" s="38"/>
      <c r="C43" s="40">
        <v>13764.84</v>
      </c>
      <c r="D43" s="47">
        <v>14500</v>
      </c>
      <c r="E43" s="40">
        <v>14500</v>
      </c>
      <c r="F43" s="47">
        <v>15000</v>
      </c>
    </row>
    <row r="44" spans="1:6" x14ac:dyDescent="0.3">
      <c r="A44" s="38" t="s">
        <v>387</v>
      </c>
      <c r="B44" s="38"/>
      <c r="C44" s="40">
        <v>7692.44</v>
      </c>
      <c r="D44" s="47">
        <v>12000</v>
      </c>
      <c r="E44" s="40">
        <v>12000</v>
      </c>
      <c r="F44" s="47">
        <v>15000</v>
      </c>
    </row>
    <row r="45" spans="1:6" x14ac:dyDescent="0.3">
      <c r="A45" s="38" t="s">
        <v>388</v>
      </c>
      <c r="B45" s="38"/>
      <c r="C45" s="40">
        <v>6963.96</v>
      </c>
      <c r="D45" s="47">
        <v>8000</v>
      </c>
      <c r="E45" s="40">
        <v>8000</v>
      </c>
      <c r="F45" s="47">
        <v>10000</v>
      </c>
    </row>
    <row r="46" spans="1:6" x14ac:dyDescent="0.3">
      <c r="A46" s="38" t="s">
        <v>389</v>
      </c>
      <c r="B46" s="38"/>
      <c r="C46" s="43"/>
      <c r="D46" s="38"/>
      <c r="E46" s="43"/>
      <c r="F46" s="38"/>
    </row>
    <row r="47" spans="1:6" x14ac:dyDescent="0.3">
      <c r="A47" s="38"/>
      <c r="B47" s="38" t="s">
        <v>363</v>
      </c>
      <c r="C47" s="40">
        <v>14858.26</v>
      </c>
      <c r="D47" s="47">
        <v>30000</v>
      </c>
      <c r="E47" s="40">
        <v>9000</v>
      </c>
      <c r="F47" s="47">
        <v>30000</v>
      </c>
    </row>
    <row r="48" spans="1:6" x14ac:dyDescent="0.3">
      <c r="A48" s="38"/>
      <c r="B48" s="38" t="s">
        <v>364</v>
      </c>
      <c r="C48" s="40">
        <v>7917.41</v>
      </c>
      <c r="D48" s="47">
        <v>30000</v>
      </c>
      <c r="E48" s="40">
        <v>7000</v>
      </c>
      <c r="F48" s="47">
        <v>30000</v>
      </c>
    </row>
    <row r="49" spans="1:6" x14ac:dyDescent="0.3">
      <c r="A49" s="38" t="s">
        <v>390</v>
      </c>
      <c r="B49" s="38"/>
      <c r="C49" s="50"/>
      <c r="D49" s="38">
        <v>0</v>
      </c>
      <c r="E49" s="43">
        <v>0</v>
      </c>
      <c r="F49" s="47">
        <v>0</v>
      </c>
    </row>
    <row r="50" spans="1:6" x14ac:dyDescent="0.3">
      <c r="A50" s="38" t="s">
        <v>381</v>
      </c>
      <c r="B50" s="38"/>
      <c r="C50" s="43"/>
      <c r="D50" s="38"/>
      <c r="E50" s="43"/>
      <c r="F50" s="38"/>
    </row>
    <row r="51" spans="1:6" x14ac:dyDescent="0.3">
      <c r="A51" s="38"/>
      <c r="B51" s="38" t="s">
        <v>391</v>
      </c>
      <c r="C51" s="40">
        <v>4373.5</v>
      </c>
      <c r="D51" s="47">
        <v>6000</v>
      </c>
      <c r="E51" s="40">
        <v>5000</v>
      </c>
      <c r="F51" s="47">
        <v>7500</v>
      </c>
    </row>
    <row r="52" spans="1:6" x14ac:dyDescent="0.3">
      <c r="A52" s="38"/>
      <c r="B52" s="38" t="s">
        <v>392</v>
      </c>
      <c r="C52" s="40">
        <v>3991.32</v>
      </c>
      <c r="D52" s="47">
        <v>3500</v>
      </c>
      <c r="E52" s="40">
        <v>2000</v>
      </c>
      <c r="F52" s="47">
        <v>5000</v>
      </c>
    </row>
    <row r="53" spans="1:6" x14ac:dyDescent="0.3">
      <c r="A53" s="38"/>
      <c r="B53" s="38" t="s">
        <v>393</v>
      </c>
      <c r="C53" s="40">
        <f>1950.86+582.85</f>
        <v>2533.71</v>
      </c>
      <c r="D53" s="47">
        <v>10000</v>
      </c>
      <c r="E53" s="40">
        <v>5000</v>
      </c>
      <c r="F53" s="47">
        <v>10000</v>
      </c>
    </row>
    <row r="54" spans="1:6" x14ac:dyDescent="0.3">
      <c r="A54" s="38"/>
      <c r="B54" s="38" t="s">
        <v>394</v>
      </c>
      <c r="C54" s="49">
        <v>1939.07</v>
      </c>
      <c r="D54" s="47">
        <v>2000</v>
      </c>
      <c r="E54" s="40">
        <v>2000</v>
      </c>
      <c r="F54" s="47">
        <v>3000</v>
      </c>
    </row>
    <row r="55" spans="1:6" x14ac:dyDescent="0.3">
      <c r="A55" s="38" t="s">
        <v>395</v>
      </c>
      <c r="B55" s="38"/>
      <c r="C55" s="40">
        <v>18959.099999999999</v>
      </c>
      <c r="D55" s="47">
        <v>20000</v>
      </c>
      <c r="E55" s="40">
        <v>20000</v>
      </c>
      <c r="F55" s="47">
        <v>23000</v>
      </c>
    </row>
    <row r="56" spans="1:6" x14ac:dyDescent="0.3">
      <c r="A56" s="38" t="s">
        <v>396</v>
      </c>
      <c r="B56" s="38"/>
      <c r="C56" s="43"/>
      <c r="D56" s="38"/>
      <c r="E56" s="43"/>
      <c r="F56" s="38"/>
    </row>
    <row r="57" spans="1:6" x14ac:dyDescent="0.3">
      <c r="A57" s="38"/>
      <c r="B57" s="38" t="s">
        <v>397</v>
      </c>
      <c r="C57" s="40">
        <v>28760</v>
      </c>
      <c r="D57" s="47">
        <v>28740</v>
      </c>
      <c r="E57" s="40">
        <v>28760</v>
      </c>
      <c r="F57" s="47">
        <v>33000</v>
      </c>
    </row>
    <row r="58" spans="1:6" x14ac:dyDescent="0.3">
      <c r="A58" s="38"/>
      <c r="B58" s="38" t="s">
        <v>398</v>
      </c>
      <c r="C58" s="40">
        <v>9064.74</v>
      </c>
      <c r="D58" s="47">
        <v>8000</v>
      </c>
      <c r="E58" s="40">
        <v>5000</v>
      </c>
      <c r="F58" s="47">
        <v>8000</v>
      </c>
    </row>
    <row r="59" spans="1:6" x14ac:dyDescent="0.3">
      <c r="A59" s="38"/>
      <c r="B59" s="38" t="s">
        <v>399</v>
      </c>
      <c r="C59" s="40">
        <v>3226.1</v>
      </c>
      <c r="D59" s="47">
        <v>3500</v>
      </c>
      <c r="E59" s="40">
        <v>3280</v>
      </c>
      <c r="F59" s="47">
        <v>3800</v>
      </c>
    </row>
    <row r="60" spans="1:6" x14ac:dyDescent="0.3">
      <c r="A60" s="38"/>
      <c r="B60" s="38" t="s">
        <v>400</v>
      </c>
      <c r="C60" s="49">
        <v>481.29</v>
      </c>
      <c r="D60" s="47">
        <v>1500</v>
      </c>
      <c r="E60" s="40">
        <v>800</v>
      </c>
      <c r="F60" s="47">
        <v>1500</v>
      </c>
    </row>
    <row r="61" spans="1:6" x14ac:dyDescent="0.3">
      <c r="A61" s="38"/>
      <c r="B61" s="38" t="s">
        <v>401</v>
      </c>
      <c r="C61" s="40">
        <v>7647.91</v>
      </c>
      <c r="D61" s="47">
        <v>15000</v>
      </c>
      <c r="E61" s="40">
        <v>15000</v>
      </c>
      <c r="F61" s="47">
        <v>18000</v>
      </c>
    </row>
    <row r="62" spans="1:6" x14ac:dyDescent="0.3">
      <c r="A62" s="38" t="s">
        <v>402</v>
      </c>
      <c r="B62" s="38"/>
      <c r="C62" s="40"/>
      <c r="D62" s="38">
        <v>0</v>
      </c>
      <c r="E62" s="40">
        <v>0</v>
      </c>
      <c r="F62" s="38"/>
    </row>
    <row r="63" spans="1:6" x14ac:dyDescent="0.3">
      <c r="A63" s="38" t="s">
        <v>403</v>
      </c>
      <c r="B63" s="38"/>
      <c r="C63" s="40"/>
      <c r="D63" s="38">
        <v>0</v>
      </c>
      <c r="E63" s="40">
        <v>0</v>
      </c>
      <c r="F63" s="38"/>
    </row>
    <row r="64" spans="1:6" x14ac:dyDescent="0.3">
      <c r="A64" s="38"/>
      <c r="B64" s="38" t="s">
        <v>404</v>
      </c>
      <c r="C64" s="40">
        <f>3006.36+3263.17+1904.94</f>
        <v>8174.4700000000012</v>
      </c>
      <c r="D64" s="47">
        <v>7000</v>
      </c>
      <c r="E64" s="40">
        <v>7000</v>
      </c>
      <c r="F64" s="47">
        <v>8000</v>
      </c>
    </row>
    <row r="65" spans="1:6" x14ac:dyDescent="0.3">
      <c r="A65" s="38"/>
      <c r="B65" s="38" t="s">
        <v>405</v>
      </c>
      <c r="C65" s="40">
        <v>9860.34</v>
      </c>
      <c r="D65" s="47">
        <v>12500</v>
      </c>
      <c r="E65" s="40">
        <v>12500</v>
      </c>
      <c r="F65" s="47">
        <v>14000</v>
      </c>
    </row>
    <row r="66" spans="1:6" x14ac:dyDescent="0.3">
      <c r="A66" s="38"/>
      <c r="B66" s="38" t="s">
        <v>406</v>
      </c>
      <c r="C66" s="40">
        <v>480</v>
      </c>
      <c r="D66" s="38">
        <v>500</v>
      </c>
      <c r="E66" s="40">
        <v>500</v>
      </c>
      <c r="F66" s="47">
        <v>500</v>
      </c>
    </row>
    <row r="67" spans="1:6" x14ac:dyDescent="0.3">
      <c r="A67" s="38"/>
      <c r="B67" s="38" t="s">
        <v>407</v>
      </c>
      <c r="C67" s="40">
        <v>1981.17</v>
      </c>
      <c r="D67" s="47">
        <v>2000</v>
      </c>
      <c r="E67" s="40">
        <v>2000</v>
      </c>
      <c r="F67" s="47">
        <v>3000</v>
      </c>
    </row>
    <row r="68" spans="1:6" x14ac:dyDescent="0.3">
      <c r="A68" s="38"/>
      <c r="B68" s="38"/>
      <c r="C68" s="40"/>
      <c r="D68" s="38"/>
      <c r="E68" s="40"/>
      <c r="F68" s="47"/>
    </row>
    <row r="69" spans="1:6" x14ac:dyDescent="0.3">
      <c r="A69" s="38" t="s">
        <v>408</v>
      </c>
      <c r="B69" s="38"/>
      <c r="C69" s="40">
        <f>SUM(C4:C68)</f>
        <v>833805.67999999982</v>
      </c>
      <c r="D69" s="47">
        <f>SUM(D4:D67)</f>
        <v>929140</v>
      </c>
      <c r="E69" s="40">
        <f>SUM(E4:E67)</f>
        <v>840590</v>
      </c>
      <c r="F69" s="47">
        <f>SUM(F4:F67)</f>
        <v>991600</v>
      </c>
    </row>
    <row r="70" spans="1:6" x14ac:dyDescent="0.3">
      <c r="E70" s="33" t="s">
        <v>1</v>
      </c>
      <c r="F70" s="47"/>
    </row>
  </sheetData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F799-F9A1-4689-98E9-BF23A36C329D}">
  <dimension ref="A1:G21"/>
  <sheetViews>
    <sheetView workbookViewId="0">
      <selection activeCell="D25" sqref="D25"/>
    </sheetView>
  </sheetViews>
  <sheetFormatPr defaultRowHeight="14.4" x14ac:dyDescent="0.3"/>
  <cols>
    <col min="1" max="1" width="27.5546875" customWidth="1"/>
    <col min="2" max="2" width="17.109375" customWidth="1"/>
    <col min="3" max="3" width="20.33203125" customWidth="1"/>
    <col min="4" max="4" width="22.109375" customWidth="1"/>
    <col min="5" max="5" width="32.88671875" customWidth="1"/>
  </cols>
  <sheetData>
    <row r="1" spans="1:7" x14ac:dyDescent="0.3">
      <c r="A1" s="33" t="s">
        <v>409</v>
      </c>
      <c r="B1" s="51" t="s">
        <v>329</v>
      </c>
      <c r="C1" s="33" t="s">
        <v>330</v>
      </c>
      <c r="E1" s="33" t="s">
        <v>1</v>
      </c>
    </row>
    <row r="3" spans="1:7" x14ac:dyDescent="0.3">
      <c r="A3" s="52" t="s">
        <v>409</v>
      </c>
      <c r="B3" s="38"/>
      <c r="C3" s="38"/>
      <c r="D3" s="38"/>
      <c r="E3" s="38"/>
    </row>
    <row r="4" spans="1:7" x14ac:dyDescent="0.3">
      <c r="A4" s="38"/>
      <c r="B4" s="38" t="s">
        <v>345</v>
      </c>
      <c r="C4" s="37" t="s">
        <v>346</v>
      </c>
      <c r="D4" s="38" t="s">
        <v>347</v>
      </c>
      <c r="E4" s="38" t="s">
        <v>348</v>
      </c>
    </row>
    <row r="5" spans="1:7" x14ac:dyDescent="0.3">
      <c r="A5" s="38" t="s">
        <v>410</v>
      </c>
      <c r="B5" s="40">
        <v>795897</v>
      </c>
      <c r="C5" s="46">
        <v>987666</v>
      </c>
      <c r="D5" s="40">
        <v>994710</v>
      </c>
      <c r="E5" s="40">
        <v>1177015</v>
      </c>
    </row>
    <row r="6" spans="1:7" x14ac:dyDescent="0.3">
      <c r="A6" s="38" t="s">
        <v>342</v>
      </c>
      <c r="B6" s="39">
        <v>1032619</v>
      </c>
      <c r="C6" s="46">
        <v>996795</v>
      </c>
      <c r="D6" s="40">
        <v>1022895</v>
      </c>
      <c r="E6" s="40">
        <v>1080994</v>
      </c>
    </row>
    <row r="7" spans="1:7" x14ac:dyDescent="0.3">
      <c r="A7" s="38" t="s">
        <v>172</v>
      </c>
      <c r="B7" s="40">
        <v>833806</v>
      </c>
      <c r="C7" s="46">
        <v>929140</v>
      </c>
      <c r="D7" s="40">
        <v>840590</v>
      </c>
      <c r="E7" s="40">
        <v>991600</v>
      </c>
    </row>
    <row r="8" spans="1:7" x14ac:dyDescent="0.3">
      <c r="A8" s="38" t="s">
        <v>411</v>
      </c>
      <c r="B8" s="40">
        <f>B5+B6-B7</f>
        <v>994710</v>
      </c>
      <c r="C8" s="46">
        <f>C5+C6-C7</f>
        <v>1055321</v>
      </c>
      <c r="D8" s="40">
        <f>D5+D6-D7</f>
        <v>1177015</v>
      </c>
      <c r="E8" s="40">
        <f>E5+E6-E7</f>
        <v>1266409</v>
      </c>
      <c r="G8" s="30"/>
    </row>
    <row r="9" spans="1:7" x14ac:dyDescent="0.3">
      <c r="C9" s="44"/>
    </row>
    <row r="10" spans="1:7" x14ac:dyDescent="0.3">
      <c r="C10" s="44"/>
    </row>
    <row r="11" spans="1:7" x14ac:dyDescent="0.3">
      <c r="A11" s="52" t="s">
        <v>412</v>
      </c>
      <c r="B11" s="38"/>
      <c r="C11" s="37"/>
      <c r="D11" s="38"/>
      <c r="E11" s="38"/>
    </row>
    <row r="12" spans="1:7" x14ac:dyDescent="0.3">
      <c r="A12" s="38"/>
      <c r="B12" s="38" t="s">
        <v>345</v>
      </c>
      <c r="C12" s="37" t="s">
        <v>346</v>
      </c>
      <c r="D12" s="38" t="s">
        <v>347</v>
      </c>
      <c r="E12" s="38" t="s">
        <v>348</v>
      </c>
      <c r="F12" s="30"/>
    </row>
    <row r="13" spans="1:7" x14ac:dyDescent="0.3">
      <c r="A13" s="38" t="s">
        <v>413</v>
      </c>
      <c r="B13" s="40">
        <v>30000</v>
      </c>
      <c r="C13" s="46">
        <v>30000</v>
      </c>
      <c r="D13" s="40">
        <v>30000</v>
      </c>
      <c r="E13" s="40">
        <v>30000</v>
      </c>
    </row>
    <row r="14" spans="1:7" x14ac:dyDescent="0.3">
      <c r="A14" s="38" t="s">
        <v>414</v>
      </c>
      <c r="B14" s="40">
        <v>12806.56</v>
      </c>
      <c r="C14" s="46">
        <v>12807</v>
      </c>
      <c r="D14" s="40">
        <v>12807</v>
      </c>
      <c r="E14" s="40">
        <v>12807</v>
      </c>
    </row>
    <row r="15" spans="1:7" x14ac:dyDescent="0.3">
      <c r="A15" s="38" t="s">
        <v>415</v>
      </c>
      <c r="B15" s="40">
        <v>13107.9</v>
      </c>
      <c r="C15" s="46">
        <v>13108</v>
      </c>
      <c r="D15" s="40">
        <v>13500</v>
      </c>
      <c r="E15" s="40">
        <v>13500</v>
      </c>
    </row>
    <row r="16" spans="1:7" x14ac:dyDescent="0.3">
      <c r="A16" s="38" t="s">
        <v>416</v>
      </c>
      <c r="B16" s="40">
        <v>938796</v>
      </c>
      <c r="C16" s="46">
        <v>999406</v>
      </c>
      <c r="D16" s="40">
        <v>1120708</v>
      </c>
      <c r="E16" s="40">
        <v>1210102</v>
      </c>
    </row>
    <row r="17" spans="1:5" x14ac:dyDescent="0.3">
      <c r="A17" s="38" t="s">
        <v>408</v>
      </c>
      <c r="B17" s="40">
        <f>SUM(B13:B16)</f>
        <v>994710.46</v>
      </c>
      <c r="C17" s="46">
        <f>SUM(C13:C16)</f>
        <v>1055321</v>
      </c>
      <c r="D17" s="40">
        <f>SUM(D13:D16)</f>
        <v>1177015</v>
      </c>
      <c r="E17" s="40">
        <f>SUM(E13:E16)</f>
        <v>1266409</v>
      </c>
    </row>
    <row r="19" spans="1:5" x14ac:dyDescent="0.3">
      <c r="B19" s="30"/>
      <c r="C19" s="30"/>
      <c r="D19" s="30"/>
      <c r="E19" s="30"/>
    </row>
    <row r="21" spans="1:5" x14ac:dyDescent="0.3">
      <c r="C21" s="30"/>
      <c r="D21" s="30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E553-CB8C-4848-91E1-E460B62CA125}">
  <dimension ref="A1:B71"/>
  <sheetViews>
    <sheetView workbookViewId="0">
      <selection sqref="A1:B1"/>
    </sheetView>
  </sheetViews>
  <sheetFormatPr defaultColWidth="12.44140625" defaultRowHeight="15.6" outlineLevelRow="5" x14ac:dyDescent="0.3"/>
  <cols>
    <col min="1" max="1" width="35.109375" style="1" customWidth="1"/>
    <col min="2" max="2" width="17.88671875" style="1" customWidth="1"/>
    <col min="3" max="16384" width="12.44140625" style="2"/>
  </cols>
  <sheetData>
    <row r="1" spans="1:2" x14ac:dyDescent="0.3">
      <c r="A1" s="53" t="s">
        <v>0</v>
      </c>
      <c r="B1" s="54"/>
    </row>
    <row r="2" spans="1:2" x14ac:dyDescent="0.3">
      <c r="A2" s="55" t="s">
        <v>1</v>
      </c>
      <c r="B2" s="54"/>
    </row>
    <row r="3" spans="1:2" x14ac:dyDescent="0.3">
      <c r="A3" s="56" t="s">
        <v>214</v>
      </c>
      <c r="B3" s="54"/>
    </row>
    <row r="5" spans="1:2" x14ac:dyDescent="0.3">
      <c r="A5" s="3" t="s">
        <v>2</v>
      </c>
      <c r="B5" s="3" t="s">
        <v>3</v>
      </c>
    </row>
    <row r="6" spans="1:2" x14ac:dyDescent="0.3">
      <c r="A6" s="4" t="s">
        <v>4</v>
      </c>
    </row>
    <row r="7" spans="1:2" outlineLevel="1" x14ac:dyDescent="0.3">
      <c r="A7" s="5" t="s">
        <v>5</v>
      </c>
    </row>
    <row r="8" spans="1:2" outlineLevel="2" x14ac:dyDescent="0.3">
      <c r="A8" s="6" t="s">
        <v>6</v>
      </c>
    </row>
    <row r="9" spans="1:2" outlineLevel="3" x14ac:dyDescent="0.3">
      <c r="A9" s="7" t="s">
        <v>7</v>
      </c>
      <c r="B9" s="8">
        <v>933721.77</v>
      </c>
    </row>
    <row r="10" spans="1:2" outlineLevel="3" x14ac:dyDescent="0.3">
      <c r="A10" s="7" t="s">
        <v>8</v>
      </c>
      <c r="B10" s="8">
        <v>205875.13</v>
      </c>
    </row>
    <row r="11" spans="1:2" outlineLevel="3" x14ac:dyDescent="0.3">
      <c r="A11" s="7" t="s">
        <v>9</v>
      </c>
      <c r="B11" s="8">
        <v>246724.35</v>
      </c>
    </row>
    <row r="12" spans="1:2" outlineLevel="4" x14ac:dyDescent="0.3">
      <c r="A12" s="9" t="s">
        <v>10</v>
      </c>
      <c r="B12" s="8">
        <v>0</v>
      </c>
    </row>
    <row r="13" spans="1:2" outlineLevel="3" x14ac:dyDescent="0.3">
      <c r="A13" s="10" t="s">
        <v>11</v>
      </c>
      <c r="B13" s="11">
        <f>B11+B12</f>
        <v>246724.35</v>
      </c>
    </row>
    <row r="14" spans="1:2" outlineLevel="3" x14ac:dyDescent="0.3">
      <c r="A14" s="7" t="s">
        <v>12</v>
      </c>
      <c r="B14" s="8">
        <v>140</v>
      </c>
    </row>
    <row r="15" spans="1:2" outlineLevel="2" x14ac:dyDescent="0.3">
      <c r="A15" s="12" t="s">
        <v>13</v>
      </c>
      <c r="B15" s="11">
        <f>B8+B9+B10+B13+B14</f>
        <v>1386461.25</v>
      </c>
    </row>
    <row r="16" spans="1:2" outlineLevel="2" x14ac:dyDescent="0.3">
      <c r="A16" s="6" t="s">
        <v>14</v>
      </c>
    </row>
    <row r="17" spans="1:2" outlineLevel="3" x14ac:dyDescent="0.3">
      <c r="A17" s="7" t="s">
        <v>215</v>
      </c>
      <c r="B17" s="8">
        <v>932698</v>
      </c>
    </row>
    <row r="18" spans="1:2" outlineLevel="2" x14ac:dyDescent="0.3">
      <c r="A18" s="12" t="s">
        <v>15</v>
      </c>
      <c r="B18" s="11">
        <f>B16+B17</f>
        <v>932698</v>
      </c>
    </row>
    <row r="19" spans="1:2" outlineLevel="2" x14ac:dyDescent="0.3">
      <c r="A19" s="6" t="s">
        <v>16</v>
      </c>
    </row>
    <row r="20" spans="1:2" outlineLevel="3" x14ac:dyDescent="0.3">
      <c r="A20" s="7" t="s">
        <v>17</v>
      </c>
      <c r="B20" s="8">
        <v>0</v>
      </c>
    </row>
    <row r="21" spans="1:2" outlineLevel="3" x14ac:dyDescent="0.3">
      <c r="A21" s="7" t="s">
        <v>18</v>
      </c>
      <c r="B21" s="8">
        <v>0</v>
      </c>
    </row>
    <row r="22" spans="1:2" outlineLevel="3" x14ac:dyDescent="0.3">
      <c r="A22" s="7" t="s">
        <v>19</v>
      </c>
      <c r="B22" s="8">
        <v>13518.6</v>
      </c>
    </row>
    <row r="23" spans="1:2" outlineLevel="3" x14ac:dyDescent="0.3">
      <c r="A23" s="7" t="s">
        <v>20</v>
      </c>
      <c r="B23" s="8">
        <v>0</v>
      </c>
    </row>
    <row r="24" spans="1:2" outlineLevel="2" x14ac:dyDescent="0.3">
      <c r="A24" s="12" t="s">
        <v>21</v>
      </c>
      <c r="B24" s="11">
        <f>B19+B20+B21+B22+B23</f>
        <v>13518.6</v>
      </c>
    </row>
    <row r="25" spans="1:2" outlineLevel="1" x14ac:dyDescent="0.3">
      <c r="A25" s="13" t="s">
        <v>22</v>
      </c>
      <c r="B25" s="11">
        <f>B7+B15+B18+B24</f>
        <v>2332677.85</v>
      </c>
    </row>
    <row r="26" spans="1:2" outlineLevel="1" x14ac:dyDescent="0.3">
      <c r="A26" s="5" t="s">
        <v>23</v>
      </c>
    </row>
    <row r="27" spans="1:2" outlineLevel="2" x14ac:dyDescent="0.3">
      <c r="A27" s="6" t="s">
        <v>24</v>
      </c>
      <c r="B27" s="8">
        <v>0</v>
      </c>
    </row>
    <row r="28" spans="1:2" outlineLevel="2" x14ac:dyDescent="0.3">
      <c r="A28" s="6" t="s">
        <v>25</v>
      </c>
      <c r="B28" s="8">
        <v>0</v>
      </c>
    </row>
    <row r="29" spans="1:2" outlineLevel="1" x14ac:dyDescent="0.3">
      <c r="A29" s="13" t="s">
        <v>26</v>
      </c>
      <c r="B29" s="11">
        <f>B26+B27+B28</f>
        <v>0</v>
      </c>
    </row>
    <row r="30" spans="1:2" outlineLevel="1" x14ac:dyDescent="0.3">
      <c r="A30" s="5" t="s">
        <v>27</v>
      </c>
    </row>
    <row r="31" spans="1:2" outlineLevel="2" x14ac:dyDescent="0.3">
      <c r="A31" s="6" t="s">
        <v>28</v>
      </c>
      <c r="B31" s="8">
        <v>0</v>
      </c>
    </row>
    <row r="32" spans="1:2" outlineLevel="1" x14ac:dyDescent="0.3">
      <c r="A32" s="13" t="s">
        <v>29</v>
      </c>
      <c r="B32" s="11">
        <f>B30+B31</f>
        <v>0</v>
      </c>
    </row>
    <row r="33" spans="1:2" x14ac:dyDescent="0.3">
      <c r="A33" s="14" t="s">
        <v>30</v>
      </c>
      <c r="B33" s="11">
        <f>B25+B29+B32</f>
        <v>2332677.85</v>
      </c>
    </row>
    <row r="34" spans="1:2" x14ac:dyDescent="0.3">
      <c r="A34" s="4" t="s">
        <v>31</v>
      </c>
    </row>
    <row r="35" spans="1:2" outlineLevel="1" x14ac:dyDescent="0.3">
      <c r="A35" s="5" t="s">
        <v>32</v>
      </c>
    </row>
    <row r="36" spans="1:2" outlineLevel="2" x14ac:dyDescent="0.3">
      <c r="A36" s="6" t="s">
        <v>33</v>
      </c>
    </row>
    <row r="37" spans="1:2" outlineLevel="3" x14ac:dyDescent="0.3">
      <c r="A37" s="7" t="s">
        <v>34</v>
      </c>
    </row>
    <row r="38" spans="1:2" outlineLevel="4" x14ac:dyDescent="0.3">
      <c r="A38" s="9" t="s">
        <v>35</v>
      </c>
      <c r="B38" s="8">
        <v>447.87</v>
      </c>
    </row>
    <row r="39" spans="1:2" outlineLevel="3" x14ac:dyDescent="0.3">
      <c r="A39" s="10" t="s">
        <v>36</v>
      </c>
      <c r="B39" s="11">
        <f>B37+B38</f>
        <v>447.87</v>
      </c>
    </row>
    <row r="40" spans="1:2" outlineLevel="3" x14ac:dyDescent="0.3">
      <c r="A40" s="7" t="s">
        <v>37</v>
      </c>
      <c r="B40" s="15"/>
    </row>
    <row r="41" spans="1:2" outlineLevel="3" x14ac:dyDescent="0.3">
      <c r="A41" s="7" t="s">
        <v>38</v>
      </c>
    </row>
    <row r="42" spans="1:2" outlineLevel="4" x14ac:dyDescent="0.3">
      <c r="A42" s="9" t="s">
        <v>39</v>
      </c>
      <c r="B42" s="8">
        <v>15.11</v>
      </c>
    </row>
    <row r="43" spans="1:2" outlineLevel="5" x14ac:dyDescent="0.3">
      <c r="A43" s="16" t="s">
        <v>40</v>
      </c>
      <c r="B43" s="8">
        <v>236</v>
      </c>
    </row>
    <row r="44" spans="1:2" outlineLevel="5" x14ac:dyDescent="0.3">
      <c r="A44" s="16" t="s">
        <v>41</v>
      </c>
      <c r="B44" s="8">
        <v>-430.82</v>
      </c>
    </row>
    <row r="45" spans="1:2" outlineLevel="5" x14ac:dyDescent="0.3">
      <c r="A45" s="16" t="s">
        <v>42</v>
      </c>
      <c r="B45" s="8">
        <v>1481.65</v>
      </c>
    </row>
    <row r="46" spans="1:2" outlineLevel="5" x14ac:dyDescent="0.3">
      <c r="A46" s="16" t="s">
        <v>43</v>
      </c>
      <c r="B46" s="8">
        <v>39.159999999999997</v>
      </c>
    </row>
    <row r="47" spans="1:2" outlineLevel="4" x14ac:dyDescent="0.3">
      <c r="A47" s="17" t="s">
        <v>44</v>
      </c>
      <c r="B47" s="11">
        <f>B42+B43+B44+B45+B46</f>
        <v>1341.1000000000001</v>
      </c>
    </row>
    <row r="48" spans="1:2" outlineLevel="4" x14ac:dyDescent="0.3">
      <c r="A48" s="9" t="s">
        <v>45</v>
      </c>
      <c r="B48" s="8">
        <v>-466.28</v>
      </c>
    </row>
    <row r="49" spans="1:2" outlineLevel="4" x14ac:dyDescent="0.3">
      <c r="A49" s="9" t="s">
        <v>216</v>
      </c>
      <c r="B49" s="8">
        <v>932698</v>
      </c>
    </row>
    <row r="50" spans="1:2" outlineLevel="4" x14ac:dyDescent="0.3">
      <c r="A50" s="9" t="s">
        <v>46</v>
      </c>
      <c r="B50" s="8">
        <v>0</v>
      </c>
    </row>
    <row r="51" spans="1:2" outlineLevel="3" x14ac:dyDescent="0.3">
      <c r="A51" s="10" t="s">
        <v>47</v>
      </c>
      <c r="B51" s="11">
        <f>B41+B47+B48+B49+B50</f>
        <v>933572.82</v>
      </c>
    </row>
    <row r="52" spans="1:2" outlineLevel="2" x14ac:dyDescent="0.3">
      <c r="A52" s="12" t="s">
        <v>48</v>
      </c>
      <c r="B52" s="11">
        <f>B36+B39+B40+B51</f>
        <v>934020.69</v>
      </c>
    </row>
    <row r="53" spans="1:2" outlineLevel="2" x14ac:dyDescent="0.3">
      <c r="A53" s="6" t="s">
        <v>49</v>
      </c>
    </row>
    <row r="54" spans="1:2" outlineLevel="3" x14ac:dyDescent="0.3">
      <c r="A54" s="7" t="s">
        <v>50</v>
      </c>
      <c r="B54" s="8">
        <v>0</v>
      </c>
    </row>
    <row r="55" spans="1:2" outlineLevel="2" x14ac:dyDescent="0.3">
      <c r="A55" s="12" t="s">
        <v>51</v>
      </c>
      <c r="B55" s="11">
        <f>B53+B54</f>
        <v>0</v>
      </c>
    </row>
    <row r="56" spans="1:2" outlineLevel="1" x14ac:dyDescent="0.3">
      <c r="A56" s="13" t="s">
        <v>52</v>
      </c>
      <c r="B56" s="11">
        <f>B35+B52+B55</f>
        <v>934020.69</v>
      </c>
    </row>
    <row r="57" spans="1:2" outlineLevel="1" x14ac:dyDescent="0.3">
      <c r="A57" s="5" t="s">
        <v>53</v>
      </c>
    </row>
    <row r="58" spans="1:2" outlineLevel="2" x14ac:dyDescent="0.3">
      <c r="A58" s="6" t="s">
        <v>54</v>
      </c>
      <c r="B58" s="8">
        <v>0</v>
      </c>
    </row>
    <row r="59" spans="1:2" outlineLevel="2" x14ac:dyDescent="0.3">
      <c r="A59" s="6" t="s">
        <v>55</v>
      </c>
      <c r="B59" s="8">
        <v>0</v>
      </c>
    </row>
    <row r="60" spans="1:2" outlineLevel="2" x14ac:dyDescent="0.3">
      <c r="A60" s="6" t="s">
        <v>56</v>
      </c>
      <c r="B60" s="8">
        <v>13107.9</v>
      </c>
    </row>
    <row r="61" spans="1:2" outlineLevel="2" x14ac:dyDescent="0.3">
      <c r="A61" s="6" t="s">
        <v>57</v>
      </c>
      <c r="B61" s="8">
        <v>12806.56</v>
      </c>
    </row>
    <row r="62" spans="1:2" outlineLevel="2" x14ac:dyDescent="0.3">
      <c r="A62" s="6" t="s">
        <v>58</v>
      </c>
      <c r="B62" s="8">
        <v>0</v>
      </c>
    </row>
    <row r="63" spans="1:2" outlineLevel="2" x14ac:dyDescent="0.3">
      <c r="A63" s="6" t="s">
        <v>59</v>
      </c>
      <c r="B63" s="8">
        <v>30000</v>
      </c>
    </row>
    <row r="64" spans="1:2" outlineLevel="2" x14ac:dyDescent="0.3">
      <c r="A64" s="6" t="s">
        <v>60</v>
      </c>
      <c r="B64" s="8">
        <v>933613.63999999745</v>
      </c>
    </row>
    <row r="65" spans="1:2" outlineLevel="2" x14ac:dyDescent="0.3">
      <c r="A65" s="6" t="s">
        <v>61</v>
      </c>
      <c r="B65" s="8">
        <v>409129.05999999994</v>
      </c>
    </row>
    <row r="66" spans="1:2" outlineLevel="1" x14ac:dyDescent="0.3">
      <c r="A66" s="13" t="s">
        <v>62</v>
      </c>
      <c r="B66" s="11">
        <f>B57+B58+B59+B60+B61+B62+B63+B64+B65</f>
        <v>1398657.1599999974</v>
      </c>
    </row>
    <row r="67" spans="1:2" x14ac:dyDescent="0.3">
      <c r="A67" s="14" t="s">
        <v>63</v>
      </c>
      <c r="B67" s="11">
        <f>B56+B66</f>
        <v>2332677.8499999973</v>
      </c>
    </row>
    <row r="71" spans="1:2" x14ac:dyDescent="0.3">
      <c r="A71" s="57" t="s">
        <v>217</v>
      </c>
      <c r="B71" s="54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4ADF-3746-496F-8784-E0B7BD7AE607}">
  <dimension ref="A1:BA106"/>
  <sheetViews>
    <sheetView workbookViewId="0">
      <selection activeCell="BD8" sqref="BD8"/>
    </sheetView>
  </sheetViews>
  <sheetFormatPr defaultRowHeight="14.4" x14ac:dyDescent="0.3"/>
  <cols>
    <col min="1" max="1" width="29.33203125" style="18" customWidth="1"/>
    <col min="2" max="2" width="11.109375" style="18" hidden="1" customWidth="1"/>
    <col min="3" max="3" width="9.44140625" style="18" hidden="1" customWidth="1"/>
    <col min="4" max="4" width="11.109375" style="18" hidden="1" customWidth="1"/>
    <col min="5" max="6" width="10.33203125" style="18" hidden="1" customWidth="1"/>
    <col min="7" max="7" width="9.44140625" style="18" hidden="1" customWidth="1"/>
    <col min="8" max="8" width="11.109375" style="18" hidden="1" customWidth="1"/>
    <col min="9" max="9" width="10.33203125" style="18" hidden="1" customWidth="1"/>
    <col min="10" max="11" width="9.44140625" style="18" hidden="1" customWidth="1"/>
    <col min="12" max="12" width="11.109375" style="18" hidden="1" customWidth="1"/>
    <col min="13" max="13" width="9.44140625" style="18" hidden="1" customWidth="1"/>
    <col min="14" max="14" width="10.33203125" style="18" hidden="1" customWidth="1"/>
    <col min="15" max="15" width="9.44140625" style="18" hidden="1" customWidth="1"/>
    <col min="16" max="16" width="11.109375" style="18" hidden="1" customWidth="1"/>
    <col min="17" max="17" width="9.44140625" style="18" hidden="1" customWidth="1"/>
    <col min="18" max="18" width="10.33203125" style="18" hidden="1" customWidth="1"/>
    <col min="19" max="19" width="9.44140625" style="18" hidden="1" customWidth="1"/>
    <col min="20" max="20" width="11.109375" style="18" hidden="1" customWidth="1"/>
    <col min="21" max="21" width="9.44140625" style="18" hidden="1" customWidth="1"/>
    <col min="22" max="22" width="10.33203125" style="18" hidden="1" customWidth="1"/>
    <col min="23" max="23" width="9.44140625" style="18" hidden="1" customWidth="1"/>
    <col min="24" max="24" width="11.109375" style="18" hidden="1" customWidth="1"/>
    <col min="25" max="25" width="9.44140625" style="18" hidden="1" customWidth="1"/>
    <col min="26" max="26" width="11.109375" style="18" hidden="1" customWidth="1"/>
    <col min="27" max="27" width="9.44140625" style="18" hidden="1" customWidth="1"/>
    <col min="28" max="28" width="11.109375" style="18" hidden="1" customWidth="1"/>
    <col min="29" max="29" width="10.33203125" style="18" hidden="1" customWidth="1"/>
    <col min="30" max="30" width="11.109375" style="18" hidden="1" customWidth="1"/>
    <col min="31" max="31" width="9.44140625" style="18" hidden="1" customWidth="1"/>
    <col min="32" max="32" width="11.109375" style="18" hidden="1" customWidth="1"/>
    <col min="33" max="33" width="10.33203125" style="18" hidden="1" customWidth="1"/>
    <col min="34" max="34" width="11.109375" style="18" hidden="1" customWidth="1"/>
    <col min="35" max="35" width="9.44140625" style="18" hidden="1" customWidth="1"/>
    <col min="36" max="36" width="11.109375" style="18" hidden="1" customWidth="1"/>
    <col min="37" max="37" width="10.33203125" style="18" hidden="1" customWidth="1"/>
    <col min="38" max="38" width="11.109375" style="18" hidden="1" customWidth="1"/>
    <col min="39" max="39" width="9.44140625" style="18" hidden="1" customWidth="1"/>
    <col min="40" max="40" width="11.109375" style="18" hidden="1" customWidth="1"/>
    <col min="41" max="41" width="10.33203125" style="18" hidden="1" customWidth="1"/>
    <col min="42" max="42" width="11.109375" style="18" hidden="1" customWidth="1"/>
    <col min="43" max="43" width="9.44140625" style="18" hidden="1" customWidth="1"/>
    <col min="44" max="44" width="11.109375" style="18" hidden="1" customWidth="1"/>
    <col min="45" max="45" width="10.33203125" style="18" hidden="1" customWidth="1"/>
    <col min="46" max="46" width="7.6640625" style="18" hidden="1" customWidth="1"/>
    <col min="47" max="47" width="9.44140625" style="18" hidden="1" customWidth="1"/>
    <col min="48" max="48" width="11.109375" style="18" hidden="1" customWidth="1"/>
    <col min="49" max="49" width="7.6640625" style="18" hidden="1" customWidth="1"/>
    <col min="50" max="50" width="12" style="18" customWidth="1"/>
    <col min="51" max="51" width="10.33203125" style="18" customWidth="1"/>
    <col min="52" max="52" width="12" style="18" customWidth="1"/>
    <col min="53" max="53" width="9.44140625" style="18" customWidth="1"/>
    <col min="54" max="16384" width="8.88671875" style="18"/>
  </cols>
  <sheetData>
    <row r="1" spans="1:53" ht="17.399999999999999" x14ac:dyDescent="0.3">
      <c r="A1" s="58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53" ht="17.399999999999999" x14ac:dyDescent="0.3">
      <c r="A2" s="58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1:53" x14ac:dyDescent="0.3">
      <c r="A3" s="60" t="s">
        <v>65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</row>
    <row r="5" spans="1:53" x14ac:dyDescent="0.3">
      <c r="A5" s="19"/>
      <c r="B5" s="61" t="s">
        <v>66</v>
      </c>
      <c r="C5" s="62"/>
      <c r="D5" s="62"/>
      <c r="E5" s="62"/>
      <c r="F5" s="61" t="s">
        <v>67</v>
      </c>
      <c r="G5" s="62"/>
      <c r="H5" s="62"/>
      <c r="I5" s="62"/>
      <c r="J5" s="61" t="s">
        <v>68</v>
      </c>
      <c r="K5" s="62"/>
      <c r="L5" s="62"/>
      <c r="M5" s="62"/>
      <c r="N5" s="61" t="s">
        <v>69</v>
      </c>
      <c r="O5" s="62"/>
      <c r="P5" s="62"/>
      <c r="Q5" s="62"/>
      <c r="R5" s="61" t="s">
        <v>70</v>
      </c>
      <c r="S5" s="62"/>
      <c r="T5" s="62"/>
      <c r="U5" s="62"/>
      <c r="V5" s="61" t="s">
        <v>71</v>
      </c>
      <c r="W5" s="62"/>
      <c r="X5" s="62"/>
      <c r="Y5" s="62"/>
      <c r="Z5" s="61" t="s">
        <v>72</v>
      </c>
      <c r="AA5" s="62"/>
      <c r="AB5" s="62"/>
      <c r="AC5" s="62"/>
      <c r="AD5" s="61" t="s">
        <v>73</v>
      </c>
      <c r="AE5" s="62"/>
      <c r="AF5" s="62"/>
      <c r="AG5" s="62"/>
      <c r="AH5" s="61" t="s">
        <v>74</v>
      </c>
      <c r="AI5" s="62"/>
      <c r="AJ5" s="62"/>
      <c r="AK5" s="62"/>
      <c r="AL5" s="61" t="s">
        <v>75</v>
      </c>
      <c r="AM5" s="62"/>
      <c r="AN5" s="62"/>
      <c r="AO5" s="62"/>
      <c r="AP5" s="61" t="s">
        <v>76</v>
      </c>
      <c r="AQ5" s="62"/>
      <c r="AR5" s="62"/>
      <c r="AS5" s="62"/>
      <c r="AT5" s="61" t="s">
        <v>77</v>
      </c>
      <c r="AU5" s="62"/>
      <c r="AV5" s="62"/>
      <c r="AW5" s="62"/>
      <c r="AX5" s="61" t="s">
        <v>3</v>
      </c>
      <c r="AY5" s="62"/>
      <c r="AZ5" s="62"/>
      <c r="BA5" s="62"/>
    </row>
    <row r="6" spans="1:53" ht="24.6" x14ac:dyDescent="0.3">
      <c r="A6" s="19"/>
      <c r="B6" s="20" t="s">
        <v>78</v>
      </c>
      <c r="C6" s="20" t="s">
        <v>79</v>
      </c>
      <c r="D6" s="20" t="s">
        <v>80</v>
      </c>
      <c r="E6" s="20" t="s">
        <v>81</v>
      </c>
      <c r="F6" s="20" t="s">
        <v>78</v>
      </c>
      <c r="G6" s="20" t="s">
        <v>79</v>
      </c>
      <c r="H6" s="20" t="s">
        <v>80</v>
      </c>
      <c r="I6" s="20" t="s">
        <v>81</v>
      </c>
      <c r="J6" s="20" t="s">
        <v>78</v>
      </c>
      <c r="K6" s="20" t="s">
        <v>79</v>
      </c>
      <c r="L6" s="20" t="s">
        <v>80</v>
      </c>
      <c r="M6" s="20" t="s">
        <v>81</v>
      </c>
      <c r="N6" s="20" t="s">
        <v>78</v>
      </c>
      <c r="O6" s="20" t="s">
        <v>79</v>
      </c>
      <c r="P6" s="20" t="s">
        <v>80</v>
      </c>
      <c r="Q6" s="20" t="s">
        <v>81</v>
      </c>
      <c r="R6" s="20" t="s">
        <v>78</v>
      </c>
      <c r="S6" s="20" t="s">
        <v>79</v>
      </c>
      <c r="T6" s="20" t="s">
        <v>80</v>
      </c>
      <c r="U6" s="20" t="s">
        <v>81</v>
      </c>
      <c r="V6" s="20" t="s">
        <v>78</v>
      </c>
      <c r="W6" s="20" t="s">
        <v>79</v>
      </c>
      <c r="X6" s="20" t="s">
        <v>80</v>
      </c>
      <c r="Y6" s="20" t="s">
        <v>81</v>
      </c>
      <c r="Z6" s="20" t="s">
        <v>78</v>
      </c>
      <c r="AA6" s="20" t="s">
        <v>79</v>
      </c>
      <c r="AB6" s="20" t="s">
        <v>80</v>
      </c>
      <c r="AC6" s="20" t="s">
        <v>81</v>
      </c>
      <c r="AD6" s="20" t="s">
        <v>78</v>
      </c>
      <c r="AE6" s="20" t="s">
        <v>79</v>
      </c>
      <c r="AF6" s="20" t="s">
        <v>80</v>
      </c>
      <c r="AG6" s="20" t="s">
        <v>81</v>
      </c>
      <c r="AH6" s="20" t="s">
        <v>78</v>
      </c>
      <c r="AI6" s="20" t="s">
        <v>79</v>
      </c>
      <c r="AJ6" s="20" t="s">
        <v>80</v>
      </c>
      <c r="AK6" s="20" t="s">
        <v>81</v>
      </c>
      <c r="AL6" s="20" t="s">
        <v>78</v>
      </c>
      <c r="AM6" s="20" t="s">
        <v>79</v>
      </c>
      <c r="AN6" s="20" t="s">
        <v>80</v>
      </c>
      <c r="AO6" s="20" t="s">
        <v>81</v>
      </c>
      <c r="AP6" s="20" t="s">
        <v>78</v>
      </c>
      <c r="AQ6" s="20" t="s">
        <v>79</v>
      </c>
      <c r="AR6" s="20" t="s">
        <v>80</v>
      </c>
      <c r="AS6" s="20" t="s">
        <v>81</v>
      </c>
      <c r="AT6" s="20" t="s">
        <v>78</v>
      </c>
      <c r="AU6" s="20" t="s">
        <v>79</v>
      </c>
      <c r="AV6" s="20" t="s">
        <v>80</v>
      </c>
      <c r="AW6" s="20" t="s">
        <v>81</v>
      </c>
      <c r="AX6" s="20" t="s">
        <v>78</v>
      </c>
      <c r="AY6" s="20" t="s">
        <v>79</v>
      </c>
      <c r="AZ6" s="20" t="s">
        <v>80</v>
      </c>
      <c r="BA6" s="20" t="s">
        <v>81</v>
      </c>
    </row>
    <row r="7" spans="1:53" x14ac:dyDescent="0.3">
      <c r="A7" s="21" t="s">
        <v>82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x14ac:dyDescent="0.3">
      <c r="A8" s="21" t="s">
        <v>83</v>
      </c>
      <c r="B8" s="22"/>
      <c r="C8" s="22"/>
      <c r="D8" s="23">
        <f t="shared" ref="D8:D19" si="0">(B8)-(C8)</f>
        <v>0</v>
      </c>
      <c r="E8" s="24" t="str">
        <f t="shared" ref="E8:E19" si="1">IF(C8=0,"",(B8)/(C8))</f>
        <v/>
      </c>
      <c r="F8" s="22"/>
      <c r="G8" s="22"/>
      <c r="H8" s="23">
        <f t="shared" ref="H8:H19" si="2">(F8)-(G8)</f>
        <v>0</v>
      </c>
      <c r="I8" s="24" t="str">
        <f t="shared" ref="I8:I19" si="3">IF(G8=0,"",(F8)/(G8))</f>
        <v/>
      </c>
      <c r="J8" s="22"/>
      <c r="K8" s="22"/>
      <c r="L8" s="23">
        <f t="shared" ref="L8:L19" si="4">(J8)-(K8)</f>
        <v>0</v>
      </c>
      <c r="M8" s="24" t="str">
        <f t="shared" ref="M8:M19" si="5">IF(K8=0,"",(J8)/(K8))</f>
        <v/>
      </c>
      <c r="N8" s="22"/>
      <c r="O8" s="22"/>
      <c r="P8" s="23">
        <f t="shared" ref="P8:P19" si="6">(N8)-(O8)</f>
        <v>0</v>
      </c>
      <c r="Q8" s="24" t="str">
        <f t="shared" ref="Q8:Q19" si="7">IF(O8=0,"",(N8)/(O8))</f>
        <v/>
      </c>
      <c r="R8" s="22"/>
      <c r="S8" s="22"/>
      <c r="T8" s="23">
        <f t="shared" ref="T8:T19" si="8">(R8)-(S8)</f>
        <v>0</v>
      </c>
      <c r="U8" s="24" t="str">
        <f t="shared" ref="U8:U19" si="9">IF(S8=0,"",(R8)/(S8))</f>
        <v/>
      </c>
      <c r="V8" s="22"/>
      <c r="W8" s="22"/>
      <c r="X8" s="23">
        <f t="shared" ref="X8:X19" si="10">(V8)-(W8)</f>
        <v>0</v>
      </c>
      <c r="Y8" s="24" t="str">
        <f t="shared" ref="Y8:Y19" si="11">IF(W8=0,"",(V8)/(W8))</f>
        <v/>
      </c>
      <c r="Z8" s="22"/>
      <c r="AA8" s="22"/>
      <c r="AB8" s="23">
        <f t="shared" ref="AB8:AB19" si="12">(Z8)-(AA8)</f>
        <v>0</v>
      </c>
      <c r="AC8" s="24" t="str">
        <f t="shared" ref="AC8:AC19" si="13">IF(AA8=0,"",(Z8)/(AA8))</f>
        <v/>
      </c>
      <c r="AD8" s="22"/>
      <c r="AE8" s="22"/>
      <c r="AF8" s="23">
        <f t="shared" ref="AF8:AF19" si="14">(AD8)-(AE8)</f>
        <v>0</v>
      </c>
      <c r="AG8" s="24" t="str">
        <f t="shared" ref="AG8:AG19" si="15">IF(AE8=0,"",(AD8)/(AE8))</f>
        <v/>
      </c>
      <c r="AH8" s="22"/>
      <c r="AI8" s="22"/>
      <c r="AJ8" s="23">
        <f t="shared" ref="AJ8:AJ19" si="16">(AH8)-(AI8)</f>
        <v>0</v>
      </c>
      <c r="AK8" s="24" t="str">
        <f t="shared" ref="AK8:AK19" si="17">IF(AI8=0,"",(AH8)/(AI8))</f>
        <v/>
      </c>
      <c r="AL8" s="22"/>
      <c r="AM8" s="22"/>
      <c r="AN8" s="23">
        <f t="shared" ref="AN8:AN19" si="18">(AL8)-(AM8)</f>
        <v>0</v>
      </c>
      <c r="AO8" s="24" t="str">
        <f t="shared" ref="AO8:AO19" si="19">IF(AM8=0,"",(AL8)/(AM8))</f>
        <v/>
      </c>
      <c r="AP8" s="22"/>
      <c r="AQ8" s="22"/>
      <c r="AR8" s="23">
        <f t="shared" ref="AR8:AR19" si="20">(AP8)-(AQ8)</f>
        <v>0</v>
      </c>
      <c r="AS8" s="24" t="str">
        <f t="shared" ref="AS8:AS19" si="21">IF(AQ8=0,"",(AP8)/(AQ8))</f>
        <v/>
      </c>
      <c r="AT8" s="22"/>
      <c r="AU8" s="22"/>
      <c r="AV8" s="23">
        <f t="shared" ref="AV8:AV19" si="22">(AT8)-(AU8)</f>
        <v>0</v>
      </c>
      <c r="AW8" s="24" t="str">
        <f t="shared" ref="AW8:AW19" si="23">IF(AU8=0,"",(AT8)/(AU8))</f>
        <v/>
      </c>
      <c r="AX8" s="23">
        <f t="shared" ref="AX8:AY19" si="24">(((((((((((B8)+(F8))+(J8))+(N8))+(R8))+(V8))+(Z8))+(AD8))+(AH8))+(AL8))+(AP8))+(AT8)</f>
        <v>0</v>
      </c>
      <c r="AY8" s="23">
        <f t="shared" si="24"/>
        <v>0</v>
      </c>
      <c r="AZ8" s="23">
        <f t="shared" ref="AZ8:AZ19" si="25">(AX8)-(AY8)</f>
        <v>0</v>
      </c>
      <c r="BA8" s="24" t="str">
        <f t="shared" ref="BA8:BA19" si="26">IF(AY8=0,"",(AX8)/(AY8))</f>
        <v/>
      </c>
    </row>
    <row r="9" spans="1:53" x14ac:dyDescent="0.3">
      <c r="A9" s="21" t="s">
        <v>84</v>
      </c>
      <c r="B9" s="22"/>
      <c r="C9" s="23">
        <f>291.67</f>
        <v>291.67</v>
      </c>
      <c r="D9" s="23">
        <f t="shared" si="0"/>
        <v>-291.67</v>
      </c>
      <c r="E9" s="24">
        <f t="shared" si="1"/>
        <v>0</v>
      </c>
      <c r="F9" s="22"/>
      <c r="G9" s="23">
        <f>291.67</f>
        <v>291.67</v>
      </c>
      <c r="H9" s="23">
        <f t="shared" si="2"/>
        <v>-291.67</v>
      </c>
      <c r="I9" s="24">
        <f t="shared" si="3"/>
        <v>0</v>
      </c>
      <c r="J9" s="22"/>
      <c r="K9" s="23">
        <f>291.67</f>
        <v>291.67</v>
      </c>
      <c r="L9" s="23">
        <f t="shared" si="4"/>
        <v>-291.67</v>
      </c>
      <c r="M9" s="24">
        <f t="shared" si="5"/>
        <v>0</v>
      </c>
      <c r="N9" s="22"/>
      <c r="O9" s="23">
        <f>291.67</f>
        <v>291.67</v>
      </c>
      <c r="P9" s="23">
        <f t="shared" si="6"/>
        <v>-291.67</v>
      </c>
      <c r="Q9" s="24">
        <f t="shared" si="7"/>
        <v>0</v>
      </c>
      <c r="R9" s="22"/>
      <c r="S9" s="23">
        <f>291.67</f>
        <v>291.67</v>
      </c>
      <c r="T9" s="23">
        <f t="shared" si="8"/>
        <v>-291.67</v>
      </c>
      <c r="U9" s="24">
        <f t="shared" si="9"/>
        <v>0</v>
      </c>
      <c r="V9" s="22"/>
      <c r="W9" s="23">
        <f>291.67</f>
        <v>291.67</v>
      </c>
      <c r="X9" s="23">
        <f t="shared" si="10"/>
        <v>-291.67</v>
      </c>
      <c r="Y9" s="24">
        <f t="shared" si="11"/>
        <v>0</v>
      </c>
      <c r="Z9" s="22"/>
      <c r="AA9" s="23">
        <f>291.67</f>
        <v>291.67</v>
      </c>
      <c r="AB9" s="23">
        <f t="shared" si="12"/>
        <v>-291.67</v>
      </c>
      <c r="AC9" s="24">
        <f t="shared" si="13"/>
        <v>0</v>
      </c>
      <c r="AD9" s="22"/>
      <c r="AE9" s="23">
        <f>291.67</f>
        <v>291.67</v>
      </c>
      <c r="AF9" s="23">
        <f t="shared" si="14"/>
        <v>-291.67</v>
      </c>
      <c r="AG9" s="24">
        <f t="shared" si="15"/>
        <v>0</v>
      </c>
      <c r="AH9" s="22"/>
      <c r="AI9" s="23">
        <f>291.67</f>
        <v>291.67</v>
      </c>
      <c r="AJ9" s="23">
        <f t="shared" si="16"/>
        <v>-291.67</v>
      </c>
      <c r="AK9" s="24">
        <f t="shared" si="17"/>
        <v>0</v>
      </c>
      <c r="AL9" s="22"/>
      <c r="AM9" s="23">
        <f>291.67</f>
        <v>291.67</v>
      </c>
      <c r="AN9" s="23">
        <f t="shared" si="18"/>
        <v>-291.67</v>
      </c>
      <c r="AO9" s="24">
        <f t="shared" si="19"/>
        <v>0</v>
      </c>
      <c r="AP9" s="22"/>
      <c r="AQ9" s="23">
        <f>291.67</f>
        <v>291.67</v>
      </c>
      <c r="AR9" s="23">
        <f t="shared" si="20"/>
        <v>-291.67</v>
      </c>
      <c r="AS9" s="24">
        <f t="shared" si="21"/>
        <v>0</v>
      </c>
      <c r="AT9" s="22"/>
      <c r="AU9" s="23">
        <f>291.63</f>
        <v>291.63</v>
      </c>
      <c r="AV9" s="23">
        <f t="shared" si="22"/>
        <v>-291.63</v>
      </c>
      <c r="AW9" s="24">
        <f t="shared" si="23"/>
        <v>0</v>
      </c>
      <c r="AX9" s="23">
        <f t="shared" si="24"/>
        <v>0</v>
      </c>
      <c r="AY9" s="23">
        <f t="shared" si="24"/>
        <v>3500.0000000000005</v>
      </c>
      <c r="AZ9" s="23">
        <f t="shared" si="25"/>
        <v>-3500.0000000000005</v>
      </c>
      <c r="BA9" s="24">
        <f t="shared" si="26"/>
        <v>0</v>
      </c>
    </row>
    <row r="10" spans="1:53" x14ac:dyDescent="0.3">
      <c r="A10" s="21" t="s">
        <v>85</v>
      </c>
      <c r="B10" s="22"/>
      <c r="C10" s="23">
        <f>766.67</f>
        <v>766.67</v>
      </c>
      <c r="D10" s="23">
        <f t="shared" si="0"/>
        <v>-766.67</v>
      </c>
      <c r="E10" s="24">
        <f t="shared" si="1"/>
        <v>0</v>
      </c>
      <c r="F10" s="22"/>
      <c r="G10" s="23">
        <f>766.67</f>
        <v>766.67</v>
      </c>
      <c r="H10" s="23">
        <f t="shared" si="2"/>
        <v>-766.67</v>
      </c>
      <c r="I10" s="24">
        <f t="shared" si="3"/>
        <v>0</v>
      </c>
      <c r="J10" s="23">
        <f>9460</f>
        <v>9460</v>
      </c>
      <c r="K10" s="23">
        <f>766.67</f>
        <v>766.67</v>
      </c>
      <c r="L10" s="23">
        <f t="shared" si="4"/>
        <v>8693.33</v>
      </c>
      <c r="M10" s="24">
        <f t="shared" si="5"/>
        <v>12.339076786622668</v>
      </c>
      <c r="N10" s="22"/>
      <c r="O10" s="23">
        <f>766.67</f>
        <v>766.67</v>
      </c>
      <c r="P10" s="23">
        <f t="shared" si="6"/>
        <v>-766.67</v>
      </c>
      <c r="Q10" s="24">
        <f t="shared" si="7"/>
        <v>0</v>
      </c>
      <c r="R10" s="22"/>
      <c r="S10" s="23">
        <f>766.67</f>
        <v>766.67</v>
      </c>
      <c r="T10" s="23">
        <f t="shared" si="8"/>
        <v>-766.67</v>
      </c>
      <c r="U10" s="24">
        <f t="shared" si="9"/>
        <v>0</v>
      </c>
      <c r="V10" s="22"/>
      <c r="W10" s="23">
        <f>766.67</f>
        <v>766.67</v>
      </c>
      <c r="X10" s="23">
        <f t="shared" si="10"/>
        <v>-766.67</v>
      </c>
      <c r="Y10" s="24">
        <f t="shared" si="11"/>
        <v>0</v>
      </c>
      <c r="Z10" s="22"/>
      <c r="AA10" s="23">
        <f>766.67</f>
        <v>766.67</v>
      </c>
      <c r="AB10" s="23">
        <f t="shared" si="12"/>
        <v>-766.67</v>
      </c>
      <c r="AC10" s="24">
        <f t="shared" si="13"/>
        <v>0</v>
      </c>
      <c r="AD10" s="22"/>
      <c r="AE10" s="23">
        <f>766.67</f>
        <v>766.67</v>
      </c>
      <c r="AF10" s="23">
        <f t="shared" si="14"/>
        <v>-766.67</v>
      </c>
      <c r="AG10" s="24">
        <f t="shared" si="15"/>
        <v>0</v>
      </c>
      <c r="AH10" s="22"/>
      <c r="AI10" s="23">
        <f>766.67</f>
        <v>766.67</v>
      </c>
      <c r="AJ10" s="23">
        <f t="shared" si="16"/>
        <v>-766.67</v>
      </c>
      <c r="AK10" s="24">
        <f t="shared" si="17"/>
        <v>0</v>
      </c>
      <c r="AL10" s="22"/>
      <c r="AM10" s="23">
        <f>766.67</f>
        <v>766.67</v>
      </c>
      <c r="AN10" s="23">
        <f t="shared" si="18"/>
        <v>-766.67</v>
      </c>
      <c r="AO10" s="24">
        <f t="shared" si="19"/>
        <v>0</v>
      </c>
      <c r="AP10" s="22"/>
      <c r="AQ10" s="23">
        <f>766.67</f>
        <v>766.67</v>
      </c>
      <c r="AR10" s="23">
        <f t="shared" si="20"/>
        <v>-766.67</v>
      </c>
      <c r="AS10" s="24">
        <f t="shared" si="21"/>
        <v>0</v>
      </c>
      <c r="AT10" s="22"/>
      <c r="AU10" s="23">
        <f>766.63</f>
        <v>766.63</v>
      </c>
      <c r="AV10" s="23">
        <f t="shared" si="22"/>
        <v>-766.63</v>
      </c>
      <c r="AW10" s="24">
        <f t="shared" si="23"/>
        <v>0</v>
      </c>
      <c r="AX10" s="23">
        <f t="shared" si="24"/>
        <v>9460</v>
      </c>
      <c r="AY10" s="23">
        <f t="shared" si="24"/>
        <v>9199.9999999999982</v>
      </c>
      <c r="AZ10" s="23">
        <f t="shared" si="25"/>
        <v>260.00000000000182</v>
      </c>
      <c r="BA10" s="24">
        <f t="shared" si="26"/>
        <v>1.0282608695652176</v>
      </c>
    </row>
    <row r="11" spans="1:53" x14ac:dyDescent="0.3">
      <c r="A11" s="21" t="s">
        <v>86</v>
      </c>
      <c r="B11" s="23">
        <f>62.06</f>
        <v>62.06</v>
      </c>
      <c r="C11" s="22"/>
      <c r="D11" s="23">
        <f t="shared" si="0"/>
        <v>62.06</v>
      </c>
      <c r="E11" s="24" t="str">
        <f t="shared" si="1"/>
        <v/>
      </c>
      <c r="F11" s="23">
        <f>500</f>
        <v>500</v>
      </c>
      <c r="G11" s="22"/>
      <c r="H11" s="23">
        <f t="shared" si="2"/>
        <v>500</v>
      </c>
      <c r="I11" s="24" t="str">
        <f t="shared" si="3"/>
        <v/>
      </c>
      <c r="J11" s="22"/>
      <c r="K11" s="22"/>
      <c r="L11" s="23">
        <f t="shared" si="4"/>
        <v>0</v>
      </c>
      <c r="M11" s="24" t="str">
        <f t="shared" si="5"/>
        <v/>
      </c>
      <c r="N11" s="23">
        <f>2.4</f>
        <v>2.4</v>
      </c>
      <c r="O11" s="22"/>
      <c r="P11" s="23">
        <f t="shared" si="6"/>
        <v>2.4</v>
      </c>
      <c r="Q11" s="24" t="str">
        <f t="shared" si="7"/>
        <v/>
      </c>
      <c r="R11" s="23">
        <f>42.66</f>
        <v>42.66</v>
      </c>
      <c r="S11" s="22"/>
      <c r="T11" s="23">
        <f t="shared" si="8"/>
        <v>42.66</v>
      </c>
      <c r="U11" s="24" t="str">
        <f t="shared" si="9"/>
        <v/>
      </c>
      <c r="V11" s="23">
        <f>2</f>
        <v>2</v>
      </c>
      <c r="W11" s="22"/>
      <c r="X11" s="23">
        <f t="shared" si="10"/>
        <v>2</v>
      </c>
      <c r="Y11" s="24" t="str">
        <f t="shared" si="11"/>
        <v/>
      </c>
      <c r="Z11" s="22"/>
      <c r="AA11" s="22"/>
      <c r="AB11" s="23">
        <f t="shared" si="12"/>
        <v>0</v>
      </c>
      <c r="AC11" s="24" t="str">
        <f t="shared" si="13"/>
        <v/>
      </c>
      <c r="AD11" s="22"/>
      <c r="AE11" s="22"/>
      <c r="AF11" s="23">
        <f t="shared" si="14"/>
        <v>0</v>
      </c>
      <c r="AG11" s="24" t="str">
        <f t="shared" si="15"/>
        <v/>
      </c>
      <c r="AH11" s="22"/>
      <c r="AI11" s="22"/>
      <c r="AJ11" s="23">
        <f t="shared" si="16"/>
        <v>0</v>
      </c>
      <c r="AK11" s="24" t="str">
        <f t="shared" si="17"/>
        <v/>
      </c>
      <c r="AL11" s="22"/>
      <c r="AM11" s="22"/>
      <c r="AN11" s="23">
        <f t="shared" si="18"/>
        <v>0</v>
      </c>
      <c r="AO11" s="24" t="str">
        <f t="shared" si="19"/>
        <v/>
      </c>
      <c r="AP11" s="22"/>
      <c r="AQ11" s="22"/>
      <c r="AR11" s="23">
        <f t="shared" si="20"/>
        <v>0</v>
      </c>
      <c r="AS11" s="24" t="str">
        <f t="shared" si="21"/>
        <v/>
      </c>
      <c r="AT11" s="22"/>
      <c r="AU11" s="22"/>
      <c r="AV11" s="23">
        <f t="shared" si="22"/>
        <v>0</v>
      </c>
      <c r="AW11" s="24" t="str">
        <f t="shared" si="23"/>
        <v/>
      </c>
      <c r="AX11" s="23">
        <f t="shared" si="24"/>
        <v>609.11999999999989</v>
      </c>
      <c r="AY11" s="23">
        <f t="shared" si="24"/>
        <v>0</v>
      </c>
      <c r="AZ11" s="23">
        <f t="shared" si="25"/>
        <v>609.11999999999989</v>
      </c>
      <c r="BA11" s="24" t="str">
        <f t="shared" si="26"/>
        <v/>
      </c>
    </row>
    <row r="12" spans="1:53" x14ac:dyDescent="0.3">
      <c r="A12" s="21" t="s">
        <v>87</v>
      </c>
      <c r="B12" s="25">
        <f>(((B8)+(B9))+(B10))+(B11)</f>
        <v>62.06</v>
      </c>
      <c r="C12" s="25">
        <f>(((C8)+(C9))+(C10))+(C11)</f>
        <v>1058.3399999999999</v>
      </c>
      <c r="D12" s="25">
        <f t="shared" si="0"/>
        <v>-996.28</v>
      </c>
      <c r="E12" s="26">
        <f t="shared" si="1"/>
        <v>5.8639000699208202E-2</v>
      </c>
      <c r="F12" s="25">
        <f>(((F8)+(F9))+(F10))+(F11)</f>
        <v>500</v>
      </c>
      <c r="G12" s="25">
        <f>(((G8)+(G9))+(G10))+(G11)</f>
        <v>1058.3399999999999</v>
      </c>
      <c r="H12" s="25">
        <f t="shared" si="2"/>
        <v>-558.33999999999992</v>
      </c>
      <c r="I12" s="26">
        <f t="shared" si="3"/>
        <v>0.47243796889468415</v>
      </c>
      <c r="J12" s="25">
        <f>(((J8)+(J9))+(J10))+(J11)</f>
        <v>9460</v>
      </c>
      <c r="K12" s="25">
        <f>(((K8)+(K9))+(K10))+(K11)</f>
        <v>1058.3399999999999</v>
      </c>
      <c r="L12" s="25">
        <f t="shared" si="4"/>
        <v>8401.66</v>
      </c>
      <c r="M12" s="26">
        <f t="shared" si="5"/>
        <v>8.9385263714874252</v>
      </c>
      <c r="N12" s="25">
        <f>(((N8)+(N9))+(N10))+(N11)</f>
        <v>2.4</v>
      </c>
      <c r="O12" s="25">
        <f>(((O8)+(O9))+(O10))+(O11)</f>
        <v>1058.3399999999999</v>
      </c>
      <c r="P12" s="25">
        <f t="shared" si="6"/>
        <v>-1055.9399999999998</v>
      </c>
      <c r="Q12" s="26">
        <f t="shared" si="7"/>
        <v>2.2677022506944837E-3</v>
      </c>
      <c r="R12" s="25">
        <f>(((R8)+(R9))+(R10))+(R11)</f>
        <v>42.66</v>
      </c>
      <c r="S12" s="25">
        <f>(((S8)+(S9))+(S10))+(S11)</f>
        <v>1058.3399999999999</v>
      </c>
      <c r="T12" s="25">
        <f t="shared" si="8"/>
        <v>-1015.68</v>
      </c>
      <c r="U12" s="26">
        <f t="shared" si="9"/>
        <v>4.0308407506094449E-2</v>
      </c>
      <c r="V12" s="25">
        <f>(((V8)+(V9))+(V10))+(V11)</f>
        <v>2</v>
      </c>
      <c r="W12" s="25">
        <f>(((W8)+(W9))+(W10))+(W11)</f>
        <v>1058.3399999999999</v>
      </c>
      <c r="X12" s="25">
        <f t="shared" si="10"/>
        <v>-1056.3399999999999</v>
      </c>
      <c r="Y12" s="26">
        <f t="shared" si="11"/>
        <v>1.8897518755787367E-3</v>
      </c>
      <c r="Z12" s="25">
        <f>(((Z8)+(Z9))+(Z10))+(Z11)</f>
        <v>0</v>
      </c>
      <c r="AA12" s="25">
        <f>(((AA8)+(AA9))+(AA10))+(AA11)</f>
        <v>1058.3399999999999</v>
      </c>
      <c r="AB12" s="25">
        <f t="shared" si="12"/>
        <v>-1058.3399999999999</v>
      </c>
      <c r="AC12" s="26">
        <f t="shared" si="13"/>
        <v>0</v>
      </c>
      <c r="AD12" s="25">
        <f>(((AD8)+(AD9))+(AD10))+(AD11)</f>
        <v>0</v>
      </c>
      <c r="AE12" s="25">
        <f>(((AE8)+(AE9))+(AE10))+(AE11)</f>
        <v>1058.3399999999999</v>
      </c>
      <c r="AF12" s="25">
        <f t="shared" si="14"/>
        <v>-1058.3399999999999</v>
      </c>
      <c r="AG12" s="26">
        <f t="shared" si="15"/>
        <v>0</v>
      </c>
      <c r="AH12" s="25">
        <f>(((AH8)+(AH9))+(AH10))+(AH11)</f>
        <v>0</v>
      </c>
      <c r="AI12" s="25">
        <f>(((AI8)+(AI9))+(AI10))+(AI11)</f>
        <v>1058.3399999999999</v>
      </c>
      <c r="AJ12" s="25">
        <f t="shared" si="16"/>
        <v>-1058.3399999999999</v>
      </c>
      <c r="AK12" s="26">
        <f t="shared" si="17"/>
        <v>0</v>
      </c>
      <c r="AL12" s="25">
        <f>(((AL8)+(AL9))+(AL10))+(AL11)</f>
        <v>0</v>
      </c>
      <c r="AM12" s="25">
        <f>(((AM8)+(AM9))+(AM10))+(AM11)</f>
        <v>1058.3399999999999</v>
      </c>
      <c r="AN12" s="25">
        <f t="shared" si="18"/>
        <v>-1058.3399999999999</v>
      </c>
      <c r="AO12" s="26">
        <f t="shared" si="19"/>
        <v>0</v>
      </c>
      <c r="AP12" s="25">
        <f>(((AP8)+(AP9))+(AP10))+(AP11)</f>
        <v>0</v>
      </c>
      <c r="AQ12" s="25">
        <f>(((AQ8)+(AQ9))+(AQ10))+(AQ11)</f>
        <v>1058.3399999999999</v>
      </c>
      <c r="AR12" s="25">
        <f t="shared" si="20"/>
        <v>-1058.3399999999999</v>
      </c>
      <c r="AS12" s="26">
        <f t="shared" si="21"/>
        <v>0</v>
      </c>
      <c r="AT12" s="25">
        <f>(((AT8)+(AT9))+(AT10))+(AT11)</f>
        <v>0</v>
      </c>
      <c r="AU12" s="25">
        <f>(((AU8)+(AU9))+(AU10))+(AU11)</f>
        <v>1058.26</v>
      </c>
      <c r="AV12" s="25">
        <f t="shared" si="22"/>
        <v>-1058.26</v>
      </c>
      <c r="AW12" s="26">
        <f t="shared" si="23"/>
        <v>0</v>
      </c>
      <c r="AX12" s="25">
        <f t="shared" si="24"/>
        <v>10069.119999999999</v>
      </c>
      <c r="AY12" s="25">
        <f t="shared" si="24"/>
        <v>12700</v>
      </c>
      <c r="AZ12" s="25">
        <f t="shared" si="25"/>
        <v>-2630.880000000001</v>
      </c>
      <c r="BA12" s="26">
        <f t="shared" si="26"/>
        <v>0.79284409448818893</v>
      </c>
    </row>
    <row r="13" spans="1:53" x14ac:dyDescent="0.3">
      <c r="A13" s="21" t="s">
        <v>88</v>
      </c>
      <c r="B13" s="23">
        <f>257.54</f>
        <v>257.54000000000002</v>
      </c>
      <c r="C13" s="23">
        <f>141.67</f>
        <v>141.66999999999999</v>
      </c>
      <c r="D13" s="23">
        <f t="shared" si="0"/>
        <v>115.87000000000003</v>
      </c>
      <c r="E13" s="24">
        <f t="shared" si="1"/>
        <v>1.81788663796146</v>
      </c>
      <c r="F13" s="23">
        <f>149.9</f>
        <v>149.9</v>
      </c>
      <c r="G13" s="23">
        <f>141.67</f>
        <v>141.66999999999999</v>
      </c>
      <c r="H13" s="23">
        <f t="shared" si="2"/>
        <v>8.2300000000000182</v>
      </c>
      <c r="I13" s="24">
        <f t="shared" si="3"/>
        <v>1.0580927507588058</v>
      </c>
      <c r="J13" s="22"/>
      <c r="K13" s="23">
        <f>141.67</f>
        <v>141.66999999999999</v>
      </c>
      <c r="L13" s="23">
        <f t="shared" si="4"/>
        <v>-141.66999999999999</v>
      </c>
      <c r="M13" s="24">
        <f t="shared" si="5"/>
        <v>0</v>
      </c>
      <c r="N13" s="23">
        <f>563.4</f>
        <v>563.4</v>
      </c>
      <c r="O13" s="23">
        <f>141.67</f>
        <v>141.66999999999999</v>
      </c>
      <c r="P13" s="23">
        <f t="shared" si="6"/>
        <v>421.73</v>
      </c>
      <c r="Q13" s="24">
        <f t="shared" si="7"/>
        <v>3.976847603585798</v>
      </c>
      <c r="R13" s="23">
        <f>263</f>
        <v>263</v>
      </c>
      <c r="S13" s="23">
        <f>141.67</f>
        <v>141.66999999999999</v>
      </c>
      <c r="T13" s="23">
        <f t="shared" si="8"/>
        <v>121.33000000000001</v>
      </c>
      <c r="U13" s="24">
        <f t="shared" si="9"/>
        <v>1.8564269076021742</v>
      </c>
      <c r="V13" s="23">
        <f>391.8</f>
        <v>391.8</v>
      </c>
      <c r="W13" s="23">
        <f>141.67</f>
        <v>141.66999999999999</v>
      </c>
      <c r="X13" s="23">
        <f t="shared" si="10"/>
        <v>250.13000000000002</v>
      </c>
      <c r="Y13" s="24">
        <f t="shared" si="11"/>
        <v>2.7655819863062048</v>
      </c>
      <c r="Z13" s="23">
        <f>85.3</f>
        <v>85.3</v>
      </c>
      <c r="AA13" s="23">
        <f>141.67</f>
        <v>141.66999999999999</v>
      </c>
      <c r="AB13" s="23">
        <f t="shared" si="12"/>
        <v>-56.36999999999999</v>
      </c>
      <c r="AC13" s="24">
        <f t="shared" si="13"/>
        <v>0.60210347991811963</v>
      </c>
      <c r="AD13" s="22"/>
      <c r="AE13" s="23">
        <f>141.67</f>
        <v>141.66999999999999</v>
      </c>
      <c r="AF13" s="23">
        <f t="shared" si="14"/>
        <v>-141.66999999999999</v>
      </c>
      <c r="AG13" s="24">
        <f t="shared" si="15"/>
        <v>0</v>
      </c>
      <c r="AH13" s="23">
        <f>412.12</f>
        <v>412.12</v>
      </c>
      <c r="AI13" s="23">
        <f>141.67</f>
        <v>141.66999999999999</v>
      </c>
      <c r="AJ13" s="23">
        <f t="shared" si="16"/>
        <v>270.45000000000005</v>
      </c>
      <c r="AK13" s="24">
        <f t="shared" si="17"/>
        <v>2.9090139055551636</v>
      </c>
      <c r="AL13" s="23">
        <f>298</f>
        <v>298</v>
      </c>
      <c r="AM13" s="23">
        <f>141.67</f>
        <v>141.66999999999999</v>
      </c>
      <c r="AN13" s="23">
        <f t="shared" si="18"/>
        <v>156.33000000000001</v>
      </c>
      <c r="AO13" s="24">
        <f t="shared" si="19"/>
        <v>2.1034799181195738</v>
      </c>
      <c r="AP13" s="22"/>
      <c r="AQ13" s="23">
        <f>141.67</f>
        <v>141.66999999999999</v>
      </c>
      <c r="AR13" s="23">
        <f t="shared" si="20"/>
        <v>-141.66999999999999</v>
      </c>
      <c r="AS13" s="24">
        <f t="shared" si="21"/>
        <v>0</v>
      </c>
      <c r="AT13" s="22"/>
      <c r="AU13" s="23">
        <f>141.63</f>
        <v>141.63</v>
      </c>
      <c r="AV13" s="23">
        <f t="shared" si="22"/>
        <v>-141.63</v>
      </c>
      <c r="AW13" s="24">
        <f t="shared" si="23"/>
        <v>0</v>
      </c>
      <c r="AX13" s="23">
        <f t="shared" si="24"/>
        <v>2421.06</v>
      </c>
      <c r="AY13" s="23">
        <f t="shared" si="24"/>
        <v>1700</v>
      </c>
      <c r="AZ13" s="23">
        <f t="shared" si="25"/>
        <v>721.06</v>
      </c>
      <c r="BA13" s="24">
        <f t="shared" si="26"/>
        <v>1.4241529411764706</v>
      </c>
    </row>
    <row r="14" spans="1:53" x14ac:dyDescent="0.3">
      <c r="A14" s="21" t="s">
        <v>89</v>
      </c>
      <c r="B14" s="23">
        <f>26.12</f>
        <v>26.12</v>
      </c>
      <c r="C14" s="23">
        <f>41.67</f>
        <v>41.67</v>
      </c>
      <c r="D14" s="23">
        <f t="shared" si="0"/>
        <v>-15.55</v>
      </c>
      <c r="E14" s="24">
        <f t="shared" si="1"/>
        <v>0.62682985361171106</v>
      </c>
      <c r="F14" s="23">
        <f>260.17</f>
        <v>260.17</v>
      </c>
      <c r="G14" s="23">
        <f>41.67</f>
        <v>41.67</v>
      </c>
      <c r="H14" s="23">
        <f t="shared" si="2"/>
        <v>218.5</v>
      </c>
      <c r="I14" s="24">
        <f t="shared" si="3"/>
        <v>6.2435805135589151</v>
      </c>
      <c r="J14" s="22"/>
      <c r="K14" s="23">
        <f>41.67</f>
        <v>41.67</v>
      </c>
      <c r="L14" s="23">
        <f t="shared" si="4"/>
        <v>-41.67</v>
      </c>
      <c r="M14" s="24">
        <f t="shared" si="5"/>
        <v>0</v>
      </c>
      <c r="N14" s="23">
        <f>17.96</f>
        <v>17.96</v>
      </c>
      <c r="O14" s="23">
        <f>41.67</f>
        <v>41.67</v>
      </c>
      <c r="P14" s="23">
        <f t="shared" si="6"/>
        <v>-23.71</v>
      </c>
      <c r="Q14" s="24">
        <f t="shared" si="7"/>
        <v>0.4310055195584353</v>
      </c>
      <c r="R14" s="23">
        <f>12.92</f>
        <v>12.92</v>
      </c>
      <c r="S14" s="23">
        <f>41.67</f>
        <v>41.67</v>
      </c>
      <c r="T14" s="23">
        <f t="shared" si="8"/>
        <v>-28.75</v>
      </c>
      <c r="U14" s="24">
        <f t="shared" si="9"/>
        <v>0.31005519558435324</v>
      </c>
      <c r="V14" s="23">
        <f>49.48</f>
        <v>49.48</v>
      </c>
      <c r="W14" s="23">
        <f>41.67</f>
        <v>41.67</v>
      </c>
      <c r="X14" s="23">
        <f t="shared" si="10"/>
        <v>7.8099999999999952</v>
      </c>
      <c r="Y14" s="24">
        <f t="shared" si="11"/>
        <v>1.1874250059995199</v>
      </c>
      <c r="Z14" s="23">
        <f>57.47</f>
        <v>57.47</v>
      </c>
      <c r="AA14" s="23">
        <f>41.67</f>
        <v>41.67</v>
      </c>
      <c r="AB14" s="23">
        <f t="shared" si="12"/>
        <v>15.799999999999997</v>
      </c>
      <c r="AC14" s="24">
        <f t="shared" si="13"/>
        <v>1.3791696664266857</v>
      </c>
      <c r="AD14" s="23">
        <f>83.52</f>
        <v>83.52</v>
      </c>
      <c r="AE14" s="23">
        <f>41.67</f>
        <v>41.67</v>
      </c>
      <c r="AF14" s="23">
        <f t="shared" si="14"/>
        <v>41.849999999999994</v>
      </c>
      <c r="AG14" s="24">
        <f t="shared" si="15"/>
        <v>2.0043196544276456</v>
      </c>
      <c r="AH14" s="23">
        <f>963.01</f>
        <v>963.01</v>
      </c>
      <c r="AI14" s="23">
        <f>41.67</f>
        <v>41.67</v>
      </c>
      <c r="AJ14" s="23">
        <f t="shared" si="16"/>
        <v>921.34</v>
      </c>
      <c r="AK14" s="24">
        <f t="shared" si="17"/>
        <v>23.110391168706503</v>
      </c>
      <c r="AL14" s="23">
        <f>187.4</f>
        <v>187.4</v>
      </c>
      <c r="AM14" s="23">
        <f>41.67</f>
        <v>41.67</v>
      </c>
      <c r="AN14" s="23">
        <f t="shared" si="18"/>
        <v>145.73000000000002</v>
      </c>
      <c r="AO14" s="24">
        <f t="shared" si="19"/>
        <v>4.497240220782337</v>
      </c>
      <c r="AP14" s="22"/>
      <c r="AQ14" s="23">
        <f>41.67</f>
        <v>41.67</v>
      </c>
      <c r="AR14" s="23">
        <f t="shared" si="20"/>
        <v>-41.67</v>
      </c>
      <c r="AS14" s="24">
        <f t="shared" si="21"/>
        <v>0</v>
      </c>
      <c r="AT14" s="22"/>
      <c r="AU14" s="23">
        <f>41.63</f>
        <v>41.63</v>
      </c>
      <c r="AV14" s="23">
        <f t="shared" si="22"/>
        <v>-41.63</v>
      </c>
      <c r="AW14" s="24">
        <f t="shared" si="23"/>
        <v>0</v>
      </c>
      <c r="AX14" s="23">
        <f t="shared" si="24"/>
        <v>1658.0500000000002</v>
      </c>
      <c r="AY14" s="23">
        <f t="shared" si="24"/>
        <v>500.00000000000011</v>
      </c>
      <c r="AZ14" s="23">
        <f t="shared" si="25"/>
        <v>1158.0500000000002</v>
      </c>
      <c r="BA14" s="24">
        <f t="shared" si="26"/>
        <v>3.3160999999999996</v>
      </c>
    </row>
    <row r="15" spans="1:53" x14ac:dyDescent="0.3">
      <c r="A15" s="21" t="s">
        <v>90</v>
      </c>
      <c r="B15" s="23">
        <f>287.64</f>
        <v>287.64</v>
      </c>
      <c r="C15" s="23">
        <f>208.33</f>
        <v>208.33</v>
      </c>
      <c r="D15" s="23">
        <f t="shared" si="0"/>
        <v>79.309999999999974</v>
      </c>
      <c r="E15" s="24">
        <f t="shared" si="1"/>
        <v>1.3806940911054575</v>
      </c>
      <c r="F15" s="23">
        <f>335.63</f>
        <v>335.63</v>
      </c>
      <c r="G15" s="23">
        <f>208.33</f>
        <v>208.33</v>
      </c>
      <c r="H15" s="23">
        <f t="shared" si="2"/>
        <v>127.29999999999998</v>
      </c>
      <c r="I15" s="24">
        <f t="shared" si="3"/>
        <v>1.6110497767964287</v>
      </c>
      <c r="J15" s="23">
        <f>372.26</f>
        <v>372.26</v>
      </c>
      <c r="K15" s="23">
        <f>208.33</f>
        <v>208.33</v>
      </c>
      <c r="L15" s="23">
        <f t="shared" si="4"/>
        <v>163.92999999999998</v>
      </c>
      <c r="M15" s="24">
        <f t="shared" si="5"/>
        <v>1.7868765900254402</v>
      </c>
      <c r="N15" s="23">
        <f>4036.33</f>
        <v>4036.33</v>
      </c>
      <c r="O15" s="23">
        <f>208.33</f>
        <v>208.33</v>
      </c>
      <c r="P15" s="23">
        <f t="shared" si="6"/>
        <v>3828</v>
      </c>
      <c r="Q15" s="24">
        <f t="shared" si="7"/>
        <v>19.374693995103922</v>
      </c>
      <c r="R15" s="23">
        <f>3577.82</f>
        <v>3577.82</v>
      </c>
      <c r="S15" s="23">
        <f>208.33</f>
        <v>208.33</v>
      </c>
      <c r="T15" s="23">
        <f t="shared" si="8"/>
        <v>3369.4900000000002</v>
      </c>
      <c r="U15" s="24">
        <f t="shared" si="9"/>
        <v>17.173810780972495</v>
      </c>
      <c r="V15" s="23">
        <f>2467.56</f>
        <v>2467.56</v>
      </c>
      <c r="W15" s="23">
        <f>208.33</f>
        <v>208.33</v>
      </c>
      <c r="X15" s="23">
        <f t="shared" si="10"/>
        <v>2259.23</v>
      </c>
      <c r="Y15" s="24">
        <f t="shared" si="11"/>
        <v>11.844477511640186</v>
      </c>
      <c r="Z15" s="23">
        <f>4836.83</f>
        <v>4836.83</v>
      </c>
      <c r="AA15" s="23">
        <f>208.33</f>
        <v>208.33</v>
      </c>
      <c r="AB15" s="23">
        <f t="shared" si="12"/>
        <v>4628.5</v>
      </c>
      <c r="AC15" s="24">
        <f t="shared" si="13"/>
        <v>23.217155474487591</v>
      </c>
      <c r="AD15" s="23">
        <f>5474.05</f>
        <v>5474.05</v>
      </c>
      <c r="AE15" s="23">
        <f>208.33</f>
        <v>208.33</v>
      </c>
      <c r="AF15" s="23">
        <f t="shared" si="14"/>
        <v>5265.72</v>
      </c>
      <c r="AG15" s="24">
        <f t="shared" si="15"/>
        <v>26.275860413766619</v>
      </c>
      <c r="AH15" s="23">
        <f>6502.27</f>
        <v>6502.27</v>
      </c>
      <c r="AI15" s="23">
        <f>208.33</f>
        <v>208.33</v>
      </c>
      <c r="AJ15" s="23">
        <f t="shared" si="16"/>
        <v>6293.9400000000005</v>
      </c>
      <c r="AK15" s="24">
        <f t="shared" si="17"/>
        <v>31.211395382326117</v>
      </c>
      <c r="AL15" s="23">
        <f>5292.03</f>
        <v>5292.03</v>
      </c>
      <c r="AM15" s="23">
        <f>208.33</f>
        <v>208.33</v>
      </c>
      <c r="AN15" s="23">
        <f t="shared" si="18"/>
        <v>5083.7</v>
      </c>
      <c r="AO15" s="24">
        <f t="shared" si="19"/>
        <v>25.402150434406948</v>
      </c>
      <c r="AP15" s="22"/>
      <c r="AQ15" s="23">
        <f>208.33</f>
        <v>208.33</v>
      </c>
      <c r="AR15" s="23">
        <f t="shared" si="20"/>
        <v>-208.33</v>
      </c>
      <c r="AS15" s="24">
        <f t="shared" si="21"/>
        <v>0</v>
      </c>
      <c r="AT15" s="22"/>
      <c r="AU15" s="23">
        <f>208.37</f>
        <v>208.37</v>
      </c>
      <c r="AV15" s="23">
        <f t="shared" si="22"/>
        <v>-208.37</v>
      </c>
      <c r="AW15" s="24">
        <f t="shared" si="23"/>
        <v>0</v>
      </c>
      <c r="AX15" s="23">
        <f t="shared" si="24"/>
        <v>33182.42</v>
      </c>
      <c r="AY15" s="23">
        <f t="shared" si="24"/>
        <v>2499.9999999999995</v>
      </c>
      <c r="AZ15" s="23">
        <f t="shared" si="25"/>
        <v>30682.42</v>
      </c>
      <c r="BA15" s="24">
        <f t="shared" si="26"/>
        <v>13.272968000000002</v>
      </c>
    </row>
    <row r="16" spans="1:53" x14ac:dyDescent="0.3">
      <c r="A16" s="21" t="s">
        <v>91</v>
      </c>
      <c r="B16" s="23">
        <f>23485.69</f>
        <v>23485.69</v>
      </c>
      <c r="C16" s="23">
        <f>77866.25</f>
        <v>77866.25</v>
      </c>
      <c r="D16" s="23">
        <f t="shared" si="0"/>
        <v>-54380.56</v>
      </c>
      <c r="E16" s="24">
        <f t="shared" si="1"/>
        <v>0.30161578347486873</v>
      </c>
      <c r="F16" s="23">
        <f>336669.33</f>
        <v>336669.33</v>
      </c>
      <c r="G16" s="23">
        <f>77866.25</f>
        <v>77866.25</v>
      </c>
      <c r="H16" s="23">
        <f t="shared" si="2"/>
        <v>258803.08000000002</v>
      </c>
      <c r="I16" s="24">
        <f t="shared" si="3"/>
        <v>4.3236874769235714</v>
      </c>
      <c r="J16" s="23">
        <f>51629.76</f>
        <v>51629.760000000002</v>
      </c>
      <c r="K16" s="23">
        <f>77866.25</f>
        <v>77866.25</v>
      </c>
      <c r="L16" s="23">
        <f t="shared" si="4"/>
        <v>-26236.489999999998</v>
      </c>
      <c r="M16" s="24">
        <f t="shared" si="5"/>
        <v>0.66305697269356112</v>
      </c>
      <c r="N16" s="23">
        <f>182766.38</f>
        <v>182766.38</v>
      </c>
      <c r="O16" s="23">
        <f>77866.25</f>
        <v>77866.25</v>
      </c>
      <c r="P16" s="23">
        <f t="shared" si="6"/>
        <v>104900.13</v>
      </c>
      <c r="Q16" s="24">
        <f t="shared" si="7"/>
        <v>2.347183535870804</v>
      </c>
      <c r="R16" s="23">
        <f>43509.17</f>
        <v>43509.17</v>
      </c>
      <c r="S16" s="23">
        <f>77866.25</f>
        <v>77866.25</v>
      </c>
      <c r="T16" s="23">
        <f t="shared" si="8"/>
        <v>-34357.08</v>
      </c>
      <c r="U16" s="24">
        <f t="shared" si="9"/>
        <v>0.55876801566789203</v>
      </c>
      <c r="V16" s="23">
        <f>269756.15</f>
        <v>269756.15000000002</v>
      </c>
      <c r="W16" s="23">
        <f>77866.25</f>
        <v>77866.25</v>
      </c>
      <c r="X16" s="23">
        <f t="shared" si="10"/>
        <v>191889.90000000002</v>
      </c>
      <c r="Y16" s="24">
        <f t="shared" si="11"/>
        <v>3.4643526559966613</v>
      </c>
      <c r="Z16" s="23">
        <f>9425.94</f>
        <v>9425.94</v>
      </c>
      <c r="AA16" s="23">
        <f>77866.25</f>
        <v>77866.25</v>
      </c>
      <c r="AB16" s="23">
        <f t="shared" si="12"/>
        <v>-68440.31</v>
      </c>
      <c r="AC16" s="24">
        <f t="shared" si="13"/>
        <v>0.1210529594015379</v>
      </c>
      <c r="AD16" s="23">
        <f>5020.8</f>
        <v>5020.8</v>
      </c>
      <c r="AE16" s="23">
        <f>77866.25</f>
        <v>77866.25</v>
      </c>
      <c r="AF16" s="23">
        <f t="shared" si="14"/>
        <v>-72845.45</v>
      </c>
      <c r="AG16" s="24">
        <f t="shared" si="15"/>
        <v>6.4479797087955315E-2</v>
      </c>
      <c r="AH16" s="23">
        <f>949.5</f>
        <v>949.5</v>
      </c>
      <c r="AI16" s="23">
        <f>77866.25</f>
        <v>77866.25</v>
      </c>
      <c r="AJ16" s="23">
        <f t="shared" si="16"/>
        <v>-76916.75</v>
      </c>
      <c r="AK16" s="24">
        <f t="shared" si="17"/>
        <v>1.2193986483232467E-2</v>
      </c>
      <c r="AL16" s="23">
        <f>1874.51</f>
        <v>1874.51</v>
      </c>
      <c r="AM16" s="23">
        <f>77866.25</f>
        <v>77866.25</v>
      </c>
      <c r="AN16" s="23">
        <f t="shared" si="18"/>
        <v>-75991.740000000005</v>
      </c>
      <c r="AO16" s="24">
        <f t="shared" si="19"/>
        <v>2.40734592971923E-2</v>
      </c>
      <c r="AP16" s="22"/>
      <c r="AQ16" s="23">
        <f>77866.25</f>
        <v>77866.25</v>
      </c>
      <c r="AR16" s="23">
        <f t="shared" si="20"/>
        <v>-77866.25</v>
      </c>
      <c r="AS16" s="24">
        <f t="shared" si="21"/>
        <v>0</v>
      </c>
      <c r="AT16" s="22"/>
      <c r="AU16" s="23">
        <f>77866.25</f>
        <v>77866.25</v>
      </c>
      <c r="AV16" s="23">
        <f t="shared" si="22"/>
        <v>-77866.25</v>
      </c>
      <c r="AW16" s="24">
        <f t="shared" si="23"/>
        <v>0</v>
      </c>
      <c r="AX16" s="23">
        <f t="shared" si="24"/>
        <v>925087.2300000001</v>
      </c>
      <c r="AY16" s="23">
        <f t="shared" si="24"/>
        <v>934395</v>
      </c>
      <c r="AZ16" s="23">
        <f t="shared" si="25"/>
        <v>-9307.7699999999022</v>
      </c>
      <c r="BA16" s="24">
        <f t="shared" si="26"/>
        <v>0.9900387202414398</v>
      </c>
    </row>
    <row r="17" spans="1:53" x14ac:dyDescent="0.3">
      <c r="A17" s="21" t="s">
        <v>92</v>
      </c>
      <c r="B17" s="23">
        <f>9414.07</f>
        <v>9414.07</v>
      </c>
      <c r="C17" s="23">
        <f>3750</f>
        <v>3750</v>
      </c>
      <c r="D17" s="23">
        <f t="shared" si="0"/>
        <v>5664.07</v>
      </c>
      <c r="E17" s="24">
        <f t="shared" si="1"/>
        <v>2.5104186666666668</v>
      </c>
      <c r="F17" s="23">
        <f>4623.43</f>
        <v>4623.43</v>
      </c>
      <c r="G17" s="23">
        <f>3750</f>
        <v>3750</v>
      </c>
      <c r="H17" s="23">
        <f t="shared" si="2"/>
        <v>873.43000000000029</v>
      </c>
      <c r="I17" s="24">
        <f t="shared" si="3"/>
        <v>1.2329146666666668</v>
      </c>
      <c r="J17" s="23">
        <f>5252.02</f>
        <v>5252.02</v>
      </c>
      <c r="K17" s="23">
        <f>3750</f>
        <v>3750</v>
      </c>
      <c r="L17" s="23">
        <f t="shared" si="4"/>
        <v>1502.0200000000004</v>
      </c>
      <c r="M17" s="24">
        <f t="shared" si="5"/>
        <v>1.4005386666666668</v>
      </c>
      <c r="N17" s="23">
        <f>4789.87</f>
        <v>4789.87</v>
      </c>
      <c r="O17" s="23">
        <f>3750</f>
        <v>3750</v>
      </c>
      <c r="P17" s="23">
        <f t="shared" si="6"/>
        <v>1039.8699999999999</v>
      </c>
      <c r="Q17" s="24">
        <f t="shared" si="7"/>
        <v>1.2772986666666666</v>
      </c>
      <c r="R17" s="23">
        <f>4710.13</f>
        <v>4710.13</v>
      </c>
      <c r="S17" s="23">
        <f>3750</f>
        <v>3750</v>
      </c>
      <c r="T17" s="23">
        <f t="shared" si="8"/>
        <v>960.13000000000011</v>
      </c>
      <c r="U17" s="24">
        <f t="shared" si="9"/>
        <v>1.2560346666666666</v>
      </c>
      <c r="V17" s="23">
        <f>4827.03</f>
        <v>4827.03</v>
      </c>
      <c r="W17" s="23">
        <f>3750</f>
        <v>3750</v>
      </c>
      <c r="X17" s="23">
        <f t="shared" si="10"/>
        <v>1077.0299999999997</v>
      </c>
      <c r="Y17" s="24">
        <f t="shared" si="11"/>
        <v>1.2872079999999999</v>
      </c>
      <c r="Z17" s="23">
        <f>5223.25</f>
        <v>5223.25</v>
      </c>
      <c r="AA17" s="23">
        <f>3750</f>
        <v>3750</v>
      </c>
      <c r="AB17" s="23">
        <f t="shared" si="12"/>
        <v>1473.25</v>
      </c>
      <c r="AC17" s="24">
        <f t="shared" si="13"/>
        <v>1.3928666666666667</v>
      </c>
      <c r="AD17" s="23">
        <f>4957.48</f>
        <v>4957.4799999999996</v>
      </c>
      <c r="AE17" s="23">
        <f>3750</f>
        <v>3750</v>
      </c>
      <c r="AF17" s="23">
        <f t="shared" si="14"/>
        <v>1207.4799999999996</v>
      </c>
      <c r="AG17" s="24">
        <f t="shared" si="15"/>
        <v>1.3219946666666667</v>
      </c>
      <c r="AH17" s="23">
        <f>5171.4</f>
        <v>5171.3999999999996</v>
      </c>
      <c r="AI17" s="23">
        <f>3750</f>
        <v>3750</v>
      </c>
      <c r="AJ17" s="23">
        <f t="shared" si="16"/>
        <v>1421.3999999999996</v>
      </c>
      <c r="AK17" s="24">
        <f t="shared" si="17"/>
        <v>1.3790399999999998</v>
      </c>
      <c r="AL17" s="23">
        <f>5297.21</f>
        <v>5297.21</v>
      </c>
      <c r="AM17" s="23">
        <f>3750</f>
        <v>3750</v>
      </c>
      <c r="AN17" s="23">
        <f t="shared" si="18"/>
        <v>1547.21</v>
      </c>
      <c r="AO17" s="24">
        <f t="shared" si="19"/>
        <v>1.4125893333333333</v>
      </c>
      <c r="AP17" s="22"/>
      <c r="AQ17" s="23">
        <f>3750</f>
        <v>3750</v>
      </c>
      <c r="AR17" s="23">
        <f t="shared" si="20"/>
        <v>-3750</v>
      </c>
      <c r="AS17" s="24">
        <f t="shared" si="21"/>
        <v>0</v>
      </c>
      <c r="AT17" s="22"/>
      <c r="AU17" s="23">
        <f>3750</f>
        <v>3750</v>
      </c>
      <c r="AV17" s="23">
        <f t="shared" si="22"/>
        <v>-3750</v>
      </c>
      <c r="AW17" s="24">
        <f t="shared" si="23"/>
        <v>0</v>
      </c>
      <c r="AX17" s="23">
        <f t="shared" si="24"/>
        <v>54265.89</v>
      </c>
      <c r="AY17" s="23">
        <f t="shared" si="24"/>
        <v>45000</v>
      </c>
      <c r="AZ17" s="23">
        <f t="shared" si="25"/>
        <v>9265.89</v>
      </c>
      <c r="BA17" s="24">
        <f t="shared" si="26"/>
        <v>1.2059086666666667</v>
      </c>
    </row>
    <row r="18" spans="1:53" x14ac:dyDescent="0.3">
      <c r="A18" s="21" t="s">
        <v>93</v>
      </c>
      <c r="B18" s="25">
        <f>(((((B12)+(B13))+(B14))+(B15))+(B16))+(B17)</f>
        <v>33533.119999999995</v>
      </c>
      <c r="C18" s="25">
        <f>(((((C12)+(C13))+(C14))+(C15))+(C16))+(C17)</f>
        <v>83066.259999999995</v>
      </c>
      <c r="D18" s="25">
        <f t="shared" si="0"/>
        <v>-49533.14</v>
      </c>
      <c r="E18" s="26">
        <f t="shared" si="1"/>
        <v>0.40369122192331758</v>
      </c>
      <c r="F18" s="25">
        <f>(((((F12)+(F13))+(F14))+(F15))+(F16))+(F17)</f>
        <v>342538.46</v>
      </c>
      <c r="G18" s="25">
        <f>(((((G12)+(G13))+(G14))+(G15))+(G16))+(G17)</f>
        <v>83066.259999999995</v>
      </c>
      <c r="H18" s="25">
        <f t="shared" si="2"/>
        <v>259472.2</v>
      </c>
      <c r="I18" s="26">
        <f t="shared" si="3"/>
        <v>4.1236774112618049</v>
      </c>
      <c r="J18" s="25">
        <f>(((((J12)+(J13))+(J14))+(J15))+(J16))+(J17)</f>
        <v>66714.040000000008</v>
      </c>
      <c r="K18" s="25">
        <f>(((((K12)+(K13))+(K14))+(K15))+(K16))+(K17)</f>
        <v>83066.259999999995</v>
      </c>
      <c r="L18" s="25">
        <f t="shared" si="4"/>
        <v>-16352.219999999987</v>
      </c>
      <c r="M18" s="26">
        <f t="shared" si="5"/>
        <v>0.80314245519179528</v>
      </c>
      <c r="N18" s="25">
        <f>(((((N12)+(N13))+(N14))+(N15))+(N16))+(N17)</f>
        <v>192176.34</v>
      </c>
      <c r="O18" s="25">
        <f>(((((O12)+(O13))+(O14))+(O15))+(O16))+(O17)</f>
        <v>83066.259999999995</v>
      </c>
      <c r="P18" s="25">
        <f t="shared" si="6"/>
        <v>109110.08</v>
      </c>
      <c r="Q18" s="26">
        <f t="shared" si="7"/>
        <v>2.3135306681677976</v>
      </c>
      <c r="R18" s="25">
        <f>(((((R12)+(R13))+(R14))+(R15))+(R16))+(R17)</f>
        <v>52115.7</v>
      </c>
      <c r="S18" s="25">
        <f>(((((S12)+(S13))+(S14))+(S15))+(S16))+(S17)</f>
        <v>83066.259999999995</v>
      </c>
      <c r="T18" s="25">
        <f t="shared" si="8"/>
        <v>-30950.559999999998</v>
      </c>
      <c r="U18" s="26">
        <f t="shared" si="9"/>
        <v>0.62739913895244592</v>
      </c>
      <c r="V18" s="25">
        <f>(((((V12)+(V13))+(V14))+(V15))+(V16))+(V17)</f>
        <v>277494.02000000008</v>
      </c>
      <c r="W18" s="25">
        <f>(((((W12)+(W13))+(W14))+(W15))+(W16))+(W17)</f>
        <v>83066.259999999995</v>
      </c>
      <c r="X18" s="25">
        <f t="shared" si="10"/>
        <v>194427.76000000007</v>
      </c>
      <c r="Y18" s="26">
        <f t="shared" si="11"/>
        <v>3.3406345729300932</v>
      </c>
      <c r="Z18" s="25">
        <f>(((((Z12)+(Z13))+(Z14))+(Z15))+(Z16))+(Z17)</f>
        <v>19628.79</v>
      </c>
      <c r="AA18" s="25">
        <f>(((((AA12)+(AA13))+(AA14))+(AA15))+(AA16))+(AA17)</f>
        <v>83066.259999999995</v>
      </c>
      <c r="AB18" s="25">
        <f t="shared" si="12"/>
        <v>-63437.469999999994</v>
      </c>
      <c r="AC18" s="26">
        <f t="shared" si="13"/>
        <v>0.23630280212447272</v>
      </c>
      <c r="AD18" s="25">
        <f>(((((AD12)+(AD13))+(AD14))+(AD15))+(AD16))+(AD17)</f>
        <v>15535.85</v>
      </c>
      <c r="AE18" s="25">
        <f>(((((AE12)+(AE13))+(AE14))+(AE15))+(AE16))+(AE17)</f>
        <v>83066.259999999995</v>
      </c>
      <c r="AF18" s="25">
        <f t="shared" si="14"/>
        <v>-67530.409999999989</v>
      </c>
      <c r="AG18" s="26">
        <f t="shared" si="15"/>
        <v>0.18702960744831898</v>
      </c>
      <c r="AH18" s="25">
        <f>(((((AH12)+(AH13))+(AH14))+(AH15))+(AH16))+(AH17)</f>
        <v>13998.300000000001</v>
      </c>
      <c r="AI18" s="25">
        <f>(((((AI12)+(AI13))+(AI14))+(AI15))+(AI16))+(AI17)</f>
        <v>83066.259999999995</v>
      </c>
      <c r="AJ18" s="25">
        <f t="shared" si="16"/>
        <v>-69067.959999999992</v>
      </c>
      <c r="AK18" s="26">
        <f t="shared" si="17"/>
        <v>0.16851968536924622</v>
      </c>
      <c r="AL18" s="25">
        <f>(((((AL12)+(AL13))+(AL14))+(AL15))+(AL16))+(AL17)</f>
        <v>12949.15</v>
      </c>
      <c r="AM18" s="25">
        <f>(((((AM12)+(AM13))+(AM14))+(AM15))+(AM16))+(AM17)</f>
        <v>83066.259999999995</v>
      </c>
      <c r="AN18" s="25">
        <f t="shared" si="18"/>
        <v>-70117.11</v>
      </c>
      <c r="AO18" s="26">
        <f t="shared" si="19"/>
        <v>0.15588940684220043</v>
      </c>
      <c r="AP18" s="25">
        <f>(((((AP12)+(AP13))+(AP14))+(AP15))+(AP16))+(AP17)</f>
        <v>0</v>
      </c>
      <c r="AQ18" s="25">
        <f>(((((AQ12)+(AQ13))+(AQ14))+(AQ15))+(AQ16))+(AQ17)</f>
        <v>83066.259999999995</v>
      </c>
      <c r="AR18" s="25">
        <f t="shared" si="20"/>
        <v>-83066.259999999995</v>
      </c>
      <c r="AS18" s="26">
        <f t="shared" si="21"/>
        <v>0</v>
      </c>
      <c r="AT18" s="25">
        <f>(((((AT12)+(AT13))+(AT14))+(AT15))+(AT16))+(AT17)</f>
        <v>0</v>
      </c>
      <c r="AU18" s="25">
        <f>(((((AU12)+(AU13))+(AU14))+(AU15))+(AU16))+(AU17)</f>
        <v>83066.14</v>
      </c>
      <c r="AV18" s="25">
        <f t="shared" si="22"/>
        <v>-83066.14</v>
      </c>
      <c r="AW18" s="26">
        <f t="shared" si="23"/>
        <v>0</v>
      </c>
      <c r="AX18" s="25">
        <f t="shared" si="24"/>
        <v>1026683.77</v>
      </c>
      <c r="AY18" s="25">
        <f t="shared" si="24"/>
        <v>996795</v>
      </c>
      <c r="AZ18" s="25">
        <f t="shared" si="25"/>
        <v>29888.770000000019</v>
      </c>
      <c r="BA18" s="26">
        <f t="shared" si="26"/>
        <v>1.0299848715131998</v>
      </c>
    </row>
    <row r="19" spans="1:53" x14ac:dyDescent="0.3">
      <c r="A19" s="21" t="s">
        <v>94</v>
      </c>
      <c r="B19" s="25">
        <f>(B18)-(0)</f>
        <v>33533.119999999995</v>
      </c>
      <c r="C19" s="25">
        <f>(C18)-(0)</f>
        <v>83066.259999999995</v>
      </c>
      <c r="D19" s="25">
        <f t="shared" si="0"/>
        <v>-49533.14</v>
      </c>
      <c r="E19" s="26">
        <f t="shared" si="1"/>
        <v>0.40369122192331758</v>
      </c>
      <c r="F19" s="25">
        <f>(F18)-(0)</f>
        <v>342538.46</v>
      </c>
      <c r="G19" s="25">
        <f>(G18)-(0)</f>
        <v>83066.259999999995</v>
      </c>
      <c r="H19" s="25">
        <f t="shared" si="2"/>
        <v>259472.2</v>
      </c>
      <c r="I19" s="26">
        <f t="shared" si="3"/>
        <v>4.1236774112618049</v>
      </c>
      <c r="J19" s="25">
        <f>(J18)-(0)</f>
        <v>66714.040000000008</v>
      </c>
      <c r="K19" s="25">
        <f>(K18)-(0)</f>
        <v>83066.259999999995</v>
      </c>
      <c r="L19" s="25">
        <f t="shared" si="4"/>
        <v>-16352.219999999987</v>
      </c>
      <c r="M19" s="26">
        <f t="shared" si="5"/>
        <v>0.80314245519179528</v>
      </c>
      <c r="N19" s="25">
        <f>(N18)-(0)</f>
        <v>192176.34</v>
      </c>
      <c r="O19" s="25">
        <f>(O18)-(0)</f>
        <v>83066.259999999995</v>
      </c>
      <c r="P19" s="25">
        <f t="shared" si="6"/>
        <v>109110.08</v>
      </c>
      <c r="Q19" s="26">
        <f t="shared" si="7"/>
        <v>2.3135306681677976</v>
      </c>
      <c r="R19" s="25">
        <f>(R18)-(0)</f>
        <v>52115.7</v>
      </c>
      <c r="S19" s="25">
        <f>(S18)-(0)</f>
        <v>83066.259999999995</v>
      </c>
      <c r="T19" s="25">
        <f t="shared" si="8"/>
        <v>-30950.559999999998</v>
      </c>
      <c r="U19" s="26">
        <f t="shared" si="9"/>
        <v>0.62739913895244592</v>
      </c>
      <c r="V19" s="25">
        <f>(V18)-(0)</f>
        <v>277494.02000000008</v>
      </c>
      <c r="W19" s="25">
        <f>(W18)-(0)</f>
        <v>83066.259999999995</v>
      </c>
      <c r="X19" s="25">
        <f t="shared" si="10"/>
        <v>194427.76000000007</v>
      </c>
      <c r="Y19" s="26">
        <f t="shared" si="11"/>
        <v>3.3406345729300932</v>
      </c>
      <c r="Z19" s="25">
        <f>(Z18)-(0)</f>
        <v>19628.79</v>
      </c>
      <c r="AA19" s="25">
        <f>(AA18)-(0)</f>
        <v>83066.259999999995</v>
      </c>
      <c r="AB19" s="25">
        <f t="shared" si="12"/>
        <v>-63437.469999999994</v>
      </c>
      <c r="AC19" s="26">
        <f t="shared" si="13"/>
        <v>0.23630280212447272</v>
      </c>
      <c r="AD19" s="25">
        <f>(AD18)-(0)</f>
        <v>15535.85</v>
      </c>
      <c r="AE19" s="25">
        <f>(AE18)-(0)</f>
        <v>83066.259999999995</v>
      </c>
      <c r="AF19" s="25">
        <f t="shared" si="14"/>
        <v>-67530.409999999989</v>
      </c>
      <c r="AG19" s="26">
        <f t="shared" si="15"/>
        <v>0.18702960744831898</v>
      </c>
      <c r="AH19" s="25">
        <f>(AH18)-(0)</f>
        <v>13998.300000000001</v>
      </c>
      <c r="AI19" s="25">
        <f>(AI18)-(0)</f>
        <v>83066.259999999995</v>
      </c>
      <c r="AJ19" s="25">
        <f t="shared" si="16"/>
        <v>-69067.959999999992</v>
      </c>
      <c r="AK19" s="26">
        <f t="shared" si="17"/>
        <v>0.16851968536924622</v>
      </c>
      <c r="AL19" s="25">
        <f>(AL18)-(0)</f>
        <v>12949.15</v>
      </c>
      <c r="AM19" s="25">
        <f>(AM18)-(0)</f>
        <v>83066.259999999995</v>
      </c>
      <c r="AN19" s="25">
        <f t="shared" si="18"/>
        <v>-70117.11</v>
      </c>
      <c r="AO19" s="26">
        <f t="shared" si="19"/>
        <v>0.15588940684220043</v>
      </c>
      <c r="AP19" s="25">
        <f>(AP18)-(0)</f>
        <v>0</v>
      </c>
      <c r="AQ19" s="25">
        <f>(AQ18)-(0)</f>
        <v>83066.259999999995</v>
      </c>
      <c r="AR19" s="25">
        <f t="shared" si="20"/>
        <v>-83066.259999999995</v>
      </c>
      <c r="AS19" s="26">
        <f t="shared" si="21"/>
        <v>0</v>
      </c>
      <c r="AT19" s="25">
        <f>(AT18)-(0)</f>
        <v>0</v>
      </c>
      <c r="AU19" s="25">
        <f>(AU18)-(0)</f>
        <v>83066.14</v>
      </c>
      <c r="AV19" s="25">
        <f t="shared" si="22"/>
        <v>-83066.14</v>
      </c>
      <c r="AW19" s="26">
        <f t="shared" si="23"/>
        <v>0</v>
      </c>
      <c r="AX19" s="25">
        <f t="shared" si="24"/>
        <v>1026683.77</v>
      </c>
      <c r="AY19" s="25">
        <f t="shared" si="24"/>
        <v>996795</v>
      </c>
      <c r="AZ19" s="25">
        <f t="shared" si="25"/>
        <v>29888.770000000019</v>
      </c>
      <c r="BA19" s="26">
        <f t="shared" si="26"/>
        <v>1.0299848715131998</v>
      </c>
    </row>
    <row r="20" spans="1:53" x14ac:dyDescent="0.3">
      <c r="A20" s="21" t="s">
        <v>95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 x14ac:dyDescent="0.3">
      <c r="A21" s="21" t="s">
        <v>96</v>
      </c>
      <c r="B21" s="22"/>
      <c r="C21" s="22"/>
      <c r="D21" s="23">
        <f t="shared" ref="D21:D84" si="27">(B21)-(C21)</f>
        <v>0</v>
      </c>
      <c r="E21" s="24" t="str">
        <f t="shared" ref="E21:E84" si="28">IF(C21=0,"",(B21)/(C21))</f>
        <v/>
      </c>
      <c r="F21" s="22"/>
      <c r="G21" s="22"/>
      <c r="H21" s="23">
        <f t="shared" ref="H21:H84" si="29">(F21)-(G21)</f>
        <v>0</v>
      </c>
      <c r="I21" s="24" t="str">
        <f t="shared" ref="I21:I84" si="30">IF(G21=0,"",(F21)/(G21))</f>
        <v/>
      </c>
      <c r="J21" s="22"/>
      <c r="K21" s="22"/>
      <c r="L21" s="23">
        <f t="shared" ref="L21:L84" si="31">(J21)-(K21)</f>
        <v>0</v>
      </c>
      <c r="M21" s="24" t="str">
        <f t="shared" ref="M21:M84" si="32">IF(K21=0,"",(J21)/(K21))</f>
        <v/>
      </c>
      <c r="N21" s="22"/>
      <c r="O21" s="22"/>
      <c r="P21" s="23">
        <f t="shared" ref="P21:P84" si="33">(N21)-(O21)</f>
        <v>0</v>
      </c>
      <c r="Q21" s="24" t="str">
        <f t="shared" ref="Q21:Q84" si="34">IF(O21=0,"",(N21)/(O21))</f>
        <v/>
      </c>
      <c r="R21" s="22"/>
      <c r="S21" s="22"/>
      <c r="T21" s="23">
        <f t="shared" ref="T21:T84" si="35">(R21)-(S21)</f>
        <v>0</v>
      </c>
      <c r="U21" s="24" t="str">
        <f t="shared" ref="U21:U84" si="36">IF(S21=0,"",(R21)/(S21))</f>
        <v/>
      </c>
      <c r="V21" s="22"/>
      <c r="W21" s="22"/>
      <c r="X21" s="23">
        <f t="shared" ref="X21:X84" si="37">(V21)-(W21)</f>
        <v>0</v>
      </c>
      <c r="Y21" s="24" t="str">
        <f t="shared" ref="Y21:Y84" si="38">IF(W21=0,"",(V21)/(W21))</f>
        <v/>
      </c>
      <c r="Z21" s="22"/>
      <c r="AA21" s="22"/>
      <c r="AB21" s="23">
        <f t="shared" ref="AB21:AB84" si="39">(Z21)-(AA21)</f>
        <v>0</v>
      </c>
      <c r="AC21" s="24" t="str">
        <f t="shared" ref="AC21:AC84" si="40">IF(AA21=0,"",(Z21)/(AA21))</f>
        <v/>
      </c>
      <c r="AD21" s="22"/>
      <c r="AE21" s="22"/>
      <c r="AF21" s="23">
        <f t="shared" ref="AF21:AF84" si="41">(AD21)-(AE21)</f>
        <v>0</v>
      </c>
      <c r="AG21" s="24" t="str">
        <f t="shared" ref="AG21:AG84" si="42">IF(AE21=0,"",(AD21)/(AE21))</f>
        <v/>
      </c>
      <c r="AH21" s="22"/>
      <c r="AI21" s="22"/>
      <c r="AJ21" s="23">
        <f t="shared" ref="AJ21:AJ84" si="43">(AH21)-(AI21)</f>
        <v>0</v>
      </c>
      <c r="AK21" s="24" t="str">
        <f t="shared" ref="AK21:AK84" si="44">IF(AI21=0,"",(AH21)/(AI21))</f>
        <v/>
      </c>
      <c r="AL21" s="22"/>
      <c r="AM21" s="22"/>
      <c r="AN21" s="23">
        <f t="shared" ref="AN21:AN84" si="45">(AL21)-(AM21)</f>
        <v>0</v>
      </c>
      <c r="AO21" s="24" t="str">
        <f t="shared" ref="AO21:AO84" si="46">IF(AM21=0,"",(AL21)/(AM21))</f>
        <v/>
      </c>
      <c r="AP21" s="22"/>
      <c r="AQ21" s="22"/>
      <c r="AR21" s="23">
        <f t="shared" ref="AR21:AR84" si="47">(AP21)-(AQ21)</f>
        <v>0</v>
      </c>
      <c r="AS21" s="24" t="str">
        <f t="shared" ref="AS21:AS84" si="48">IF(AQ21=0,"",(AP21)/(AQ21))</f>
        <v/>
      </c>
      <c r="AT21" s="22"/>
      <c r="AU21" s="22"/>
      <c r="AV21" s="23">
        <f t="shared" ref="AV21:AV84" si="49">(AT21)-(AU21)</f>
        <v>0</v>
      </c>
      <c r="AW21" s="24" t="str">
        <f t="shared" ref="AW21:AW84" si="50">IF(AU21=0,"",(AT21)/(AU21))</f>
        <v/>
      </c>
      <c r="AX21" s="23">
        <f t="shared" ref="AX21:AY52" si="51">(((((((((((B21)+(F21))+(J21))+(N21))+(R21))+(V21))+(Z21))+(AD21))+(AH21))+(AL21))+(AP21))+(AT21)</f>
        <v>0</v>
      </c>
      <c r="AY21" s="23">
        <f t="shared" si="51"/>
        <v>0</v>
      </c>
      <c r="AZ21" s="23">
        <f t="shared" ref="AZ21:AZ84" si="52">(AX21)-(AY21)</f>
        <v>0</v>
      </c>
      <c r="BA21" s="24" t="str">
        <f t="shared" ref="BA21:BA84" si="53">IF(AY21=0,"",(AX21)/(AY21))</f>
        <v/>
      </c>
    </row>
    <row r="22" spans="1:53" x14ac:dyDescent="0.3">
      <c r="A22" s="21" t="s">
        <v>97</v>
      </c>
      <c r="B22" s="23">
        <f>154.5</f>
        <v>154.5</v>
      </c>
      <c r="C22" s="22"/>
      <c r="D22" s="23">
        <f t="shared" si="27"/>
        <v>154.5</v>
      </c>
      <c r="E22" s="24" t="str">
        <f t="shared" si="28"/>
        <v/>
      </c>
      <c r="F22" s="23">
        <f>0</f>
        <v>0</v>
      </c>
      <c r="G22" s="22"/>
      <c r="H22" s="23">
        <f t="shared" si="29"/>
        <v>0</v>
      </c>
      <c r="I22" s="24" t="str">
        <f t="shared" si="30"/>
        <v/>
      </c>
      <c r="J22" s="23">
        <f>0</f>
        <v>0</v>
      </c>
      <c r="K22" s="22"/>
      <c r="L22" s="23">
        <f t="shared" si="31"/>
        <v>0</v>
      </c>
      <c r="M22" s="24" t="str">
        <f t="shared" si="32"/>
        <v/>
      </c>
      <c r="N22" s="23">
        <f>0</f>
        <v>0</v>
      </c>
      <c r="O22" s="22"/>
      <c r="P22" s="23">
        <f t="shared" si="33"/>
        <v>0</v>
      </c>
      <c r="Q22" s="24" t="str">
        <f t="shared" si="34"/>
        <v/>
      </c>
      <c r="R22" s="23">
        <f>0</f>
        <v>0</v>
      </c>
      <c r="S22" s="22"/>
      <c r="T22" s="23">
        <f t="shared" si="35"/>
        <v>0</v>
      </c>
      <c r="U22" s="24" t="str">
        <f t="shared" si="36"/>
        <v/>
      </c>
      <c r="V22" s="23">
        <f>0</f>
        <v>0</v>
      </c>
      <c r="W22" s="22"/>
      <c r="X22" s="23">
        <f t="shared" si="37"/>
        <v>0</v>
      </c>
      <c r="Y22" s="24" t="str">
        <f t="shared" si="38"/>
        <v/>
      </c>
      <c r="Z22" s="23">
        <f>-154.5</f>
        <v>-154.5</v>
      </c>
      <c r="AA22" s="22"/>
      <c r="AB22" s="23">
        <f t="shared" si="39"/>
        <v>-154.5</v>
      </c>
      <c r="AC22" s="24" t="str">
        <f t="shared" si="40"/>
        <v/>
      </c>
      <c r="AD22" s="23">
        <f>154.5</f>
        <v>154.5</v>
      </c>
      <c r="AE22" s="22"/>
      <c r="AF22" s="23">
        <f t="shared" si="41"/>
        <v>154.5</v>
      </c>
      <c r="AG22" s="24" t="str">
        <f t="shared" si="42"/>
        <v/>
      </c>
      <c r="AH22" s="23">
        <f>0</f>
        <v>0</v>
      </c>
      <c r="AI22" s="22"/>
      <c r="AJ22" s="23">
        <f t="shared" si="43"/>
        <v>0</v>
      </c>
      <c r="AK22" s="24" t="str">
        <f t="shared" si="44"/>
        <v/>
      </c>
      <c r="AL22" s="23">
        <f>0</f>
        <v>0</v>
      </c>
      <c r="AM22" s="22"/>
      <c r="AN22" s="23">
        <f t="shared" si="45"/>
        <v>0</v>
      </c>
      <c r="AO22" s="24" t="str">
        <f t="shared" si="46"/>
        <v/>
      </c>
      <c r="AP22" s="23">
        <f>-154.5</f>
        <v>-154.5</v>
      </c>
      <c r="AQ22" s="22"/>
      <c r="AR22" s="23">
        <f t="shared" si="47"/>
        <v>-154.5</v>
      </c>
      <c r="AS22" s="24" t="str">
        <f t="shared" si="48"/>
        <v/>
      </c>
      <c r="AT22" s="22"/>
      <c r="AU22" s="22"/>
      <c r="AV22" s="23">
        <f t="shared" si="49"/>
        <v>0</v>
      </c>
      <c r="AW22" s="24" t="str">
        <f t="shared" si="50"/>
        <v/>
      </c>
      <c r="AX22" s="23">
        <f t="shared" si="51"/>
        <v>0</v>
      </c>
      <c r="AY22" s="23">
        <f t="shared" si="51"/>
        <v>0</v>
      </c>
      <c r="AZ22" s="23">
        <f t="shared" si="52"/>
        <v>0</v>
      </c>
      <c r="BA22" s="24" t="str">
        <f t="shared" si="53"/>
        <v/>
      </c>
    </row>
    <row r="23" spans="1:53" x14ac:dyDescent="0.3">
      <c r="A23" s="21" t="s">
        <v>98</v>
      </c>
      <c r="B23" s="23">
        <f>3584.35</f>
        <v>3584.35</v>
      </c>
      <c r="C23" s="23">
        <f>3541.67</f>
        <v>3541.67</v>
      </c>
      <c r="D23" s="23">
        <f t="shared" si="27"/>
        <v>42.679999999999836</v>
      </c>
      <c r="E23" s="24">
        <f t="shared" si="28"/>
        <v>1.0120508121874707</v>
      </c>
      <c r="F23" s="23">
        <f>3420.92</f>
        <v>3420.92</v>
      </c>
      <c r="G23" s="23">
        <f>3541.67</f>
        <v>3541.67</v>
      </c>
      <c r="H23" s="23">
        <f t="shared" si="29"/>
        <v>-120.75</v>
      </c>
      <c r="I23" s="24">
        <f t="shared" si="30"/>
        <v>0.96590591444149232</v>
      </c>
      <c r="J23" s="23">
        <f>3420.92</f>
        <v>3420.92</v>
      </c>
      <c r="K23" s="23">
        <f>3541.67</f>
        <v>3541.67</v>
      </c>
      <c r="L23" s="23">
        <f t="shared" si="31"/>
        <v>-120.75</v>
      </c>
      <c r="M23" s="24">
        <f t="shared" si="32"/>
        <v>0.96590591444149232</v>
      </c>
      <c r="N23" s="23">
        <f>3420.92</f>
        <v>3420.92</v>
      </c>
      <c r="O23" s="23">
        <f>3541.67</f>
        <v>3541.67</v>
      </c>
      <c r="P23" s="23">
        <f t="shared" si="33"/>
        <v>-120.75</v>
      </c>
      <c r="Q23" s="24">
        <f t="shared" si="34"/>
        <v>0.96590591444149232</v>
      </c>
      <c r="R23" s="23">
        <f>3420.92</f>
        <v>3420.92</v>
      </c>
      <c r="S23" s="23">
        <f>3541.67</f>
        <v>3541.67</v>
      </c>
      <c r="T23" s="23">
        <f t="shared" si="35"/>
        <v>-120.75</v>
      </c>
      <c r="U23" s="24">
        <f t="shared" si="36"/>
        <v>0.96590591444149232</v>
      </c>
      <c r="V23" s="23">
        <f>3420.92</f>
        <v>3420.92</v>
      </c>
      <c r="W23" s="23">
        <f>3541.67</f>
        <v>3541.67</v>
      </c>
      <c r="X23" s="23">
        <f t="shared" si="37"/>
        <v>-120.75</v>
      </c>
      <c r="Y23" s="24">
        <f t="shared" si="38"/>
        <v>0.96590591444149232</v>
      </c>
      <c r="Z23" s="23">
        <f>3431.45</f>
        <v>3431.45</v>
      </c>
      <c r="AA23" s="23">
        <f>3541.67</f>
        <v>3541.67</v>
      </c>
      <c r="AB23" s="23">
        <f t="shared" si="39"/>
        <v>-110.22000000000025</v>
      </c>
      <c r="AC23" s="24">
        <f t="shared" si="40"/>
        <v>0.9688790881137993</v>
      </c>
      <c r="AD23" s="23">
        <f>3420.92</f>
        <v>3420.92</v>
      </c>
      <c r="AE23" s="23">
        <f>3541.67</f>
        <v>3541.67</v>
      </c>
      <c r="AF23" s="23">
        <f t="shared" si="41"/>
        <v>-120.75</v>
      </c>
      <c r="AG23" s="24">
        <f t="shared" si="42"/>
        <v>0.96590591444149232</v>
      </c>
      <c r="AH23" s="23">
        <f>3420.92</f>
        <v>3420.92</v>
      </c>
      <c r="AI23" s="23">
        <f>3541.67</f>
        <v>3541.67</v>
      </c>
      <c r="AJ23" s="23">
        <f t="shared" si="43"/>
        <v>-120.75</v>
      </c>
      <c r="AK23" s="24">
        <f t="shared" si="44"/>
        <v>0.96590591444149232</v>
      </c>
      <c r="AL23" s="23">
        <f>6848.54</f>
        <v>6848.54</v>
      </c>
      <c r="AM23" s="23">
        <f>3541.67</f>
        <v>3541.67</v>
      </c>
      <c r="AN23" s="23">
        <f t="shared" si="45"/>
        <v>3306.87</v>
      </c>
      <c r="AO23" s="24">
        <f t="shared" si="46"/>
        <v>1.933703591808384</v>
      </c>
      <c r="AP23" s="23">
        <f>-3.35</f>
        <v>-3.35</v>
      </c>
      <c r="AQ23" s="23">
        <f>3541.67</f>
        <v>3541.67</v>
      </c>
      <c r="AR23" s="23">
        <f t="shared" si="47"/>
        <v>-3545.02</v>
      </c>
      <c r="AS23" s="24">
        <f t="shared" si="48"/>
        <v>-9.4588146269979979E-4</v>
      </c>
      <c r="AT23" s="22"/>
      <c r="AU23" s="23">
        <f>3541.63</f>
        <v>3541.63</v>
      </c>
      <c r="AV23" s="23">
        <f t="shared" si="49"/>
        <v>-3541.63</v>
      </c>
      <c r="AW23" s="24">
        <f t="shared" si="50"/>
        <v>0</v>
      </c>
      <c r="AX23" s="23">
        <f t="shared" si="51"/>
        <v>37807.43</v>
      </c>
      <c r="AY23" s="23">
        <f t="shared" si="51"/>
        <v>42499.999999999985</v>
      </c>
      <c r="AZ23" s="23">
        <f t="shared" si="52"/>
        <v>-4692.5699999999852</v>
      </c>
      <c r="BA23" s="24">
        <f t="shared" si="53"/>
        <v>0.88958658823529446</v>
      </c>
    </row>
    <row r="24" spans="1:53" x14ac:dyDescent="0.3">
      <c r="A24" s="21" t="s">
        <v>99</v>
      </c>
      <c r="B24" s="22"/>
      <c r="C24" s="23">
        <f>1000</f>
        <v>1000</v>
      </c>
      <c r="D24" s="23">
        <f t="shared" si="27"/>
        <v>-1000</v>
      </c>
      <c r="E24" s="24">
        <f t="shared" si="28"/>
        <v>0</v>
      </c>
      <c r="F24" s="22"/>
      <c r="G24" s="23">
        <f>1000</f>
        <v>1000</v>
      </c>
      <c r="H24" s="23">
        <f t="shared" si="29"/>
        <v>-1000</v>
      </c>
      <c r="I24" s="24">
        <f t="shared" si="30"/>
        <v>0</v>
      </c>
      <c r="J24" s="22"/>
      <c r="K24" s="23">
        <f>1000</f>
        <v>1000</v>
      </c>
      <c r="L24" s="23">
        <f t="shared" si="31"/>
        <v>-1000</v>
      </c>
      <c r="M24" s="24">
        <f t="shared" si="32"/>
        <v>0</v>
      </c>
      <c r="N24" s="22"/>
      <c r="O24" s="23">
        <f>1000</f>
        <v>1000</v>
      </c>
      <c r="P24" s="23">
        <f t="shared" si="33"/>
        <v>-1000</v>
      </c>
      <c r="Q24" s="24">
        <f t="shared" si="34"/>
        <v>0</v>
      </c>
      <c r="R24" s="22"/>
      <c r="S24" s="23">
        <f>1000</f>
        <v>1000</v>
      </c>
      <c r="T24" s="23">
        <f t="shared" si="35"/>
        <v>-1000</v>
      </c>
      <c r="U24" s="24">
        <f t="shared" si="36"/>
        <v>0</v>
      </c>
      <c r="V24" s="22"/>
      <c r="W24" s="23">
        <f>1000</f>
        <v>1000</v>
      </c>
      <c r="X24" s="23">
        <f t="shared" si="37"/>
        <v>-1000</v>
      </c>
      <c r="Y24" s="24">
        <f t="shared" si="38"/>
        <v>0</v>
      </c>
      <c r="Z24" s="22"/>
      <c r="AA24" s="23">
        <f>1000</f>
        <v>1000</v>
      </c>
      <c r="AB24" s="23">
        <f t="shared" si="39"/>
        <v>-1000</v>
      </c>
      <c r="AC24" s="24">
        <f t="shared" si="40"/>
        <v>0</v>
      </c>
      <c r="AD24" s="22"/>
      <c r="AE24" s="23">
        <f>1000</f>
        <v>1000</v>
      </c>
      <c r="AF24" s="23">
        <f t="shared" si="41"/>
        <v>-1000</v>
      </c>
      <c r="AG24" s="24">
        <f t="shared" si="42"/>
        <v>0</v>
      </c>
      <c r="AH24" s="22"/>
      <c r="AI24" s="23">
        <f>1000</f>
        <v>1000</v>
      </c>
      <c r="AJ24" s="23">
        <f t="shared" si="43"/>
        <v>-1000</v>
      </c>
      <c r="AK24" s="24">
        <f t="shared" si="44"/>
        <v>0</v>
      </c>
      <c r="AL24" s="22"/>
      <c r="AM24" s="23">
        <f>1000</f>
        <v>1000</v>
      </c>
      <c r="AN24" s="23">
        <f t="shared" si="45"/>
        <v>-1000</v>
      </c>
      <c r="AO24" s="24">
        <f t="shared" si="46"/>
        <v>0</v>
      </c>
      <c r="AP24" s="23">
        <f>10441</f>
        <v>10441</v>
      </c>
      <c r="AQ24" s="23">
        <f>1000</f>
        <v>1000</v>
      </c>
      <c r="AR24" s="23">
        <f t="shared" si="47"/>
        <v>9441</v>
      </c>
      <c r="AS24" s="24">
        <f t="shared" si="48"/>
        <v>10.441000000000001</v>
      </c>
      <c r="AT24" s="22"/>
      <c r="AU24" s="23">
        <f>1000</f>
        <v>1000</v>
      </c>
      <c r="AV24" s="23">
        <f t="shared" si="49"/>
        <v>-1000</v>
      </c>
      <c r="AW24" s="24">
        <f t="shared" si="50"/>
        <v>0</v>
      </c>
      <c r="AX24" s="23">
        <f t="shared" si="51"/>
        <v>10441</v>
      </c>
      <c r="AY24" s="23">
        <f t="shared" si="51"/>
        <v>12000</v>
      </c>
      <c r="AZ24" s="23">
        <f t="shared" si="52"/>
        <v>-1559</v>
      </c>
      <c r="BA24" s="24">
        <f t="shared" si="53"/>
        <v>0.87008333333333332</v>
      </c>
    </row>
    <row r="25" spans="1:53" x14ac:dyDescent="0.3">
      <c r="A25" s="21" t="s">
        <v>100</v>
      </c>
      <c r="B25" s="22"/>
      <c r="C25" s="23">
        <f>166.67</f>
        <v>166.67</v>
      </c>
      <c r="D25" s="23">
        <f t="shared" si="27"/>
        <v>-166.67</v>
      </c>
      <c r="E25" s="24">
        <f t="shared" si="28"/>
        <v>0</v>
      </c>
      <c r="F25" s="22"/>
      <c r="G25" s="23">
        <f>166.67</f>
        <v>166.67</v>
      </c>
      <c r="H25" s="23">
        <f t="shared" si="29"/>
        <v>-166.67</v>
      </c>
      <c r="I25" s="24">
        <f t="shared" si="30"/>
        <v>0</v>
      </c>
      <c r="J25" s="22"/>
      <c r="K25" s="23">
        <f>166.67</f>
        <v>166.67</v>
      </c>
      <c r="L25" s="23">
        <f t="shared" si="31"/>
        <v>-166.67</v>
      </c>
      <c r="M25" s="24">
        <f t="shared" si="32"/>
        <v>0</v>
      </c>
      <c r="N25" s="22"/>
      <c r="O25" s="23">
        <f>166.67</f>
        <v>166.67</v>
      </c>
      <c r="P25" s="23">
        <f t="shared" si="33"/>
        <v>-166.67</v>
      </c>
      <c r="Q25" s="24">
        <f t="shared" si="34"/>
        <v>0</v>
      </c>
      <c r="R25" s="22"/>
      <c r="S25" s="23">
        <f>166.67</f>
        <v>166.67</v>
      </c>
      <c r="T25" s="23">
        <f t="shared" si="35"/>
        <v>-166.67</v>
      </c>
      <c r="U25" s="24">
        <f t="shared" si="36"/>
        <v>0</v>
      </c>
      <c r="V25" s="22"/>
      <c r="W25" s="23">
        <f>166.67</f>
        <v>166.67</v>
      </c>
      <c r="X25" s="23">
        <f t="shared" si="37"/>
        <v>-166.67</v>
      </c>
      <c r="Y25" s="24">
        <f t="shared" si="38"/>
        <v>0</v>
      </c>
      <c r="Z25" s="22"/>
      <c r="AA25" s="23">
        <f>166.67</f>
        <v>166.67</v>
      </c>
      <c r="AB25" s="23">
        <f t="shared" si="39"/>
        <v>-166.67</v>
      </c>
      <c r="AC25" s="24">
        <f t="shared" si="40"/>
        <v>0</v>
      </c>
      <c r="AD25" s="23">
        <f>25</f>
        <v>25</v>
      </c>
      <c r="AE25" s="23">
        <f>166.67</f>
        <v>166.67</v>
      </c>
      <c r="AF25" s="23">
        <f t="shared" si="41"/>
        <v>-141.66999999999999</v>
      </c>
      <c r="AG25" s="24">
        <f t="shared" si="42"/>
        <v>0.1499970000599988</v>
      </c>
      <c r="AH25" s="22"/>
      <c r="AI25" s="23">
        <f>166.67</f>
        <v>166.67</v>
      </c>
      <c r="AJ25" s="23">
        <f t="shared" si="43"/>
        <v>-166.67</v>
      </c>
      <c r="AK25" s="24">
        <f t="shared" si="44"/>
        <v>0</v>
      </c>
      <c r="AL25" s="23">
        <f>808</f>
        <v>808</v>
      </c>
      <c r="AM25" s="23">
        <f>166.67</f>
        <v>166.67</v>
      </c>
      <c r="AN25" s="23">
        <f t="shared" si="45"/>
        <v>641.33000000000004</v>
      </c>
      <c r="AO25" s="24">
        <f t="shared" si="46"/>
        <v>4.847903041939162</v>
      </c>
      <c r="AP25" s="22"/>
      <c r="AQ25" s="23">
        <f>166.67</f>
        <v>166.67</v>
      </c>
      <c r="AR25" s="23">
        <f t="shared" si="47"/>
        <v>-166.67</v>
      </c>
      <c r="AS25" s="24">
        <f t="shared" si="48"/>
        <v>0</v>
      </c>
      <c r="AT25" s="22"/>
      <c r="AU25" s="23">
        <f>166.63</f>
        <v>166.63</v>
      </c>
      <c r="AV25" s="23">
        <f t="shared" si="49"/>
        <v>-166.63</v>
      </c>
      <c r="AW25" s="24">
        <f t="shared" si="50"/>
        <v>0</v>
      </c>
      <c r="AX25" s="23">
        <f t="shared" si="51"/>
        <v>833</v>
      </c>
      <c r="AY25" s="23">
        <f t="shared" si="51"/>
        <v>2000</v>
      </c>
      <c r="AZ25" s="23">
        <f t="shared" si="52"/>
        <v>-1167</v>
      </c>
      <c r="BA25" s="24">
        <f t="shared" si="53"/>
        <v>0.41649999999999998</v>
      </c>
    </row>
    <row r="26" spans="1:53" x14ac:dyDescent="0.3">
      <c r="A26" s="21" t="s">
        <v>101</v>
      </c>
      <c r="B26" s="25">
        <f>((((B21)+(B22))+(B23))+(B24))+(B25)</f>
        <v>3738.85</v>
      </c>
      <c r="C26" s="25">
        <f>((((C21)+(C22))+(C23))+(C24))+(C25)</f>
        <v>4708.34</v>
      </c>
      <c r="D26" s="25">
        <f t="shared" si="27"/>
        <v>-969.49000000000024</v>
      </c>
      <c r="E26" s="26">
        <f t="shared" si="28"/>
        <v>0.79409091102171891</v>
      </c>
      <c r="F26" s="25">
        <f>((((F21)+(F22))+(F23))+(F24))+(F25)</f>
        <v>3420.92</v>
      </c>
      <c r="G26" s="25">
        <f>((((G21)+(G22))+(G23))+(G24))+(G25)</f>
        <v>4708.34</v>
      </c>
      <c r="H26" s="25">
        <f t="shared" si="29"/>
        <v>-1287.42</v>
      </c>
      <c r="I26" s="26">
        <f t="shared" si="30"/>
        <v>0.72656605087992798</v>
      </c>
      <c r="J26" s="25">
        <f>((((J21)+(J22))+(J23))+(J24))+(J25)</f>
        <v>3420.92</v>
      </c>
      <c r="K26" s="25">
        <f>((((K21)+(K22))+(K23))+(K24))+(K25)</f>
        <v>4708.34</v>
      </c>
      <c r="L26" s="25">
        <f t="shared" si="31"/>
        <v>-1287.42</v>
      </c>
      <c r="M26" s="26">
        <f t="shared" si="32"/>
        <v>0.72656605087992798</v>
      </c>
      <c r="N26" s="25">
        <f>((((N21)+(N22))+(N23))+(N24))+(N25)</f>
        <v>3420.92</v>
      </c>
      <c r="O26" s="25">
        <f>((((O21)+(O22))+(O23))+(O24))+(O25)</f>
        <v>4708.34</v>
      </c>
      <c r="P26" s="25">
        <f t="shared" si="33"/>
        <v>-1287.42</v>
      </c>
      <c r="Q26" s="26">
        <f t="shared" si="34"/>
        <v>0.72656605087992798</v>
      </c>
      <c r="R26" s="25">
        <f>((((R21)+(R22))+(R23))+(R24))+(R25)</f>
        <v>3420.92</v>
      </c>
      <c r="S26" s="25">
        <f>((((S21)+(S22))+(S23))+(S24))+(S25)</f>
        <v>4708.34</v>
      </c>
      <c r="T26" s="25">
        <f t="shared" si="35"/>
        <v>-1287.42</v>
      </c>
      <c r="U26" s="26">
        <f t="shared" si="36"/>
        <v>0.72656605087992798</v>
      </c>
      <c r="V26" s="25">
        <f>((((V21)+(V22))+(V23))+(V24))+(V25)</f>
        <v>3420.92</v>
      </c>
      <c r="W26" s="25">
        <f>((((W21)+(W22))+(W23))+(W24))+(W25)</f>
        <v>4708.34</v>
      </c>
      <c r="X26" s="25">
        <f t="shared" si="37"/>
        <v>-1287.42</v>
      </c>
      <c r="Y26" s="26">
        <f t="shared" si="38"/>
        <v>0.72656605087992798</v>
      </c>
      <c r="Z26" s="25">
        <f>((((Z21)+(Z22))+(Z23))+(Z24))+(Z25)</f>
        <v>3276.95</v>
      </c>
      <c r="AA26" s="25">
        <f>((((AA21)+(AA22))+(AA23))+(AA24))+(AA25)</f>
        <v>4708.34</v>
      </c>
      <c r="AB26" s="25">
        <f t="shared" si="39"/>
        <v>-1431.3900000000003</v>
      </c>
      <c r="AC26" s="26">
        <f t="shared" si="40"/>
        <v>0.69598839506067955</v>
      </c>
      <c r="AD26" s="25">
        <f>((((AD21)+(AD22))+(AD23))+(AD24))+(AD25)</f>
        <v>3600.42</v>
      </c>
      <c r="AE26" s="25">
        <f>((((AE21)+(AE22))+(AE23))+(AE24))+(AE25)</f>
        <v>4708.34</v>
      </c>
      <c r="AF26" s="25">
        <f t="shared" si="41"/>
        <v>-1107.92</v>
      </c>
      <c r="AG26" s="26">
        <f t="shared" si="42"/>
        <v>0.76468989070457949</v>
      </c>
      <c r="AH26" s="25">
        <f>((((AH21)+(AH22))+(AH23))+(AH24))+(AH25)</f>
        <v>3420.92</v>
      </c>
      <c r="AI26" s="25">
        <f>((((AI21)+(AI22))+(AI23))+(AI24))+(AI25)</f>
        <v>4708.34</v>
      </c>
      <c r="AJ26" s="25">
        <f t="shared" si="43"/>
        <v>-1287.42</v>
      </c>
      <c r="AK26" s="26">
        <f t="shared" si="44"/>
        <v>0.72656605087992798</v>
      </c>
      <c r="AL26" s="25">
        <f>((((AL21)+(AL22))+(AL23))+(AL24))+(AL25)</f>
        <v>7656.54</v>
      </c>
      <c r="AM26" s="25">
        <f>((((AM21)+(AM22))+(AM23))+(AM24))+(AM25)</f>
        <v>4708.34</v>
      </c>
      <c r="AN26" s="25">
        <f t="shared" si="45"/>
        <v>2948.2</v>
      </c>
      <c r="AO26" s="26">
        <f t="shared" si="46"/>
        <v>1.6261654850754192</v>
      </c>
      <c r="AP26" s="25">
        <f>((((AP21)+(AP22))+(AP23))+(AP24))+(AP25)</f>
        <v>10283.15</v>
      </c>
      <c r="AQ26" s="25">
        <f>((((AQ21)+(AQ22))+(AQ23))+(AQ24))+(AQ25)</f>
        <v>4708.34</v>
      </c>
      <c r="AR26" s="25">
        <f t="shared" si="47"/>
        <v>5574.8099999999995</v>
      </c>
      <c r="AS26" s="26">
        <f t="shared" si="48"/>
        <v>2.1840287659769686</v>
      </c>
      <c r="AT26" s="25">
        <f>((((AT21)+(AT22))+(AT23))+(AT24))+(AT25)</f>
        <v>0</v>
      </c>
      <c r="AU26" s="25">
        <f>((((AU21)+(AU22))+(AU23))+(AU24))+(AU25)</f>
        <v>4708.26</v>
      </c>
      <c r="AV26" s="25">
        <f t="shared" si="49"/>
        <v>-4708.26</v>
      </c>
      <c r="AW26" s="26">
        <f t="shared" si="50"/>
        <v>0</v>
      </c>
      <c r="AX26" s="25">
        <f t="shared" si="51"/>
        <v>49081.43</v>
      </c>
      <c r="AY26" s="25">
        <f t="shared" si="51"/>
        <v>56499.999999999993</v>
      </c>
      <c r="AZ26" s="25">
        <f t="shared" si="52"/>
        <v>-7418.5699999999924</v>
      </c>
      <c r="BA26" s="26">
        <f t="shared" si="53"/>
        <v>0.86869787610619476</v>
      </c>
    </row>
    <row r="27" spans="1:53" x14ac:dyDescent="0.3">
      <c r="A27" s="21" t="s">
        <v>102</v>
      </c>
      <c r="B27" s="23">
        <f>1992.62</f>
        <v>1992.62</v>
      </c>
      <c r="C27" s="22"/>
      <c r="D27" s="23">
        <f t="shared" si="27"/>
        <v>1992.62</v>
      </c>
      <c r="E27" s="24" t="str">
        <f t="shared" si="28"/>
        <v/>
      </c>
      <c r="F27" s="22"/>
      <c r="G27" s="22"/>
      <c r="H27" s="23">
        <f t="shared" si="29"/>
        <v>0</v>
      </c>
      <c r="I27" s="24" t="str">
        <f t="shared" si="30"/>
        <v/>
      </c>
      <c r="J27" s="22"/>
      <c r="K27" s="22"/>
      <c r="L27" s="23">
        <f t="shared" si="31"/>
        <v>0</v>
      </c>
      <c r="M27" s="24" t="str">
        <f t="shared" si="32"/>
        <v/>
      </c>
      <c r="N27" s="22"/>
      <c r="O27" s="22"/>
      <c r="P27" s="23">
        <f t="shared" si="33"/>
        <v>0</v>
      </c>
      <c r="Q27" s="24" t="str">
        <f t="shared" si="34"/>
        <v/>
      </c>
      <c r="R27" s="22"/>
      <c r="S27" s="22"/>
      <c r="T27" s="23">
        <f t="shared" si="35"/>
        <v>0</v>
      </c>
      <c r="U27" s="24" t="str">
        <f t="shared" si="36"/>
        <v/>
      </c>
      <c r="V27" s="23">
        <f>1382.5</f>
        <v>1382.5</v>
      </c>
      <c r="W27" s="22"/>
      <c r="X27" s="23">
        <f t="shared" si="37"/>
        <v>1382.5</v>
      </c>
      <c r="Y27" s="24" t="str">
        <f t="shared" si="38"/>
        <v/>
      </c>
      <c r="Z27" s="23">
        <f>2820.68</f>
        <v>2820.68</v>
      </c>
      <c r="AA27" s="22"/>
      <c r="AB27" s="23">
        <f t="shared" si="39"/>
        <v>2820.68</v>
      </c>
      <c r="AC27" s="24" t="str">
        <f t="shared" si="40"/>
        <v/>
      </c>
      <c r="AD27" s="22"/>
      <c r="AE27" s="22"/>
      <c r="AF27" s="23">
        <f t="shared" si="41"/>
        <v>0</v>
      </c>
      <c r="AG27" s="24" t="str">
        <f t="shared" si="42"/>
        <v/>
      </c>
      <c r="AH27" s="23">
        <f>1460.9</f>
        <v>1460.9</v>
      </c>
      <c r="AI27" s="22"/>
      <c r="AJ27" s="23">
        <f t="shared" si="43"/>
        <v>1460.9</v>
      </c>
      <c r="AK27" s="24" t="str">
        <f t="shared" si="44"/>
        <v/>
      </c>
      <c r="AL27" s="22"/>
      <c r="AM27" s="22"/>
      <c r="AN27" s="23">
        <f t="shared" si="45"/>
        <v>0</v>
      </c>
      <c r="AO27" s="24" t="str">
        <f t="shared" si="46"/>
        <v/>
      </c>
      <c r="AP27" s="22"/>
      <c r="AQ27" s="22"/>
      <c r="AR27" s="23">
        <f t="shared" si="47"/>
        <v>0</v>
      </c>
      <c r="AS27" s="24" t="str">
        <f t="shared" si="48"/>
        <v/>
      </c>
      <c r="AT27" s="22"/>
      <c r="AU27" s="22"/>
      <c r="AV27" s="23">
        <f t="shared" si="49"/>
        <v>0</v>
      </c>
      <c r="AW27" s="24" t="str">
        <f t="shared" si="50"/>
        <v/>
      </c>
      <c r="AX27" s="23">
        <f t="shared" si="51"/>
        <v>7656.6999999999989</v>
      </c>
      <c r="AY27" s="23">
        <f t="shared" si="51"/>
        <v>0</v>
      </c>
      <c r="AZ27" s="23">
        <f t="shared" si="52"/>
        <v>7656.6999999999989</v>
      </c>
      <c r="BA27" s="24" t="str">
        <f t="shared" si="53"/>
        <v/>
      </c>
    </row>
    <row r="28" spans="1:53" x14ac:dyDescent="0.3">
      <c r="A28" s="21" t="s">
        <v>103</v>
      </c>
      <c r="B28" s="23">
        <f>2462.88</f>
        <v>2462.88</v>
      </c>
      <c r="C28" s="23">
        <f>3875</f>
        <v>3875</v>
      </c>
      <c r="D28" s="23">
        <f t="shared" si="27"/>
        <v>-1412.12</v>
      </c>
      <c r="E28" s="24">
        <f t="shared" si="28"/>
        <v>0.63558193548387099</v>
      </c>
      <c r="F28" s="23">
        <f>2462.09</f>
        <v>2462.09</v>
      </c>
      <c r="G28" s="23">
        <f>3875</f>
        <v>3875</v>
      </c>
      <c r="H28" s="23">
        <f t="shared" si="29"/>
        <v>-1412.9099999999999</v>
      </c>
      <c r="I28" s="24">
        <f t="shared" si="30"/>
        <v>0.6353780645161291</v>
      </c>
      <c r="J28" s="23">
        <f>2439.72</f>
        <v>2439.7199999999998</v>
      </c>
      <c r="K28" s="23">
        <f>3875</f>
        <v>3875</v>
      </c>
      <c r="L28" s="23">
        <f t="shared" si="31"/>
        <v>-1435.2800000000002</v>
      </c>
      <c r="M28" s="24">
        <f t="shared" si="32"/>
        <v>0.62960516129032251</v>
      </c>
      <c r="N28" s="23">
        <f>2420.1</f>
        <v>2420.1</v>
      </c>
      <c r="O28" s="23">
        <f>3875</f>
        <v>3875</v>
      </c>
      <c r="P28" s="23">
        <f t="shared" si="33"/>
        <v>-1454.9</v>
      </c>
      <c r="Q28" s="24">
        <f t="shared" si="34"/>
        <v>0.62454193548387094</v>
      </c>
      <c r="R28" s="23">
        <f>2467.26</f>
        <v>2467.2600000000002</v>
      </c>
      <c r="S28" s="23">
        <f>3875</f>
        <v>3875</v>
      </c>
      <c r="T28" s="23">
        <f t="shared" si="35"/>
        <v>-1407.7399999999998</v>
      </c>
      <c r="U28" s="24">
        <f t="shared" si="36"/>
        <v>0.63671225806451615</v>
      </c>
      <c r="V28" s="23">
        <f>2422.94</f>
        <v>2422.94</v>
      </c>
      <c r="W28" s="23">
        <f>3875</f>
        <v>3875</v>
      </c>
      <c r="X28" s="23">
        <f t="shared" si="37"/>
        <v>-1452.06</v>
      </c>
      <c r="Y28" s="24">
        <f t="shared" si="38"/>
        <v>0.62527483870967748</v>
      </c>
      <c r="Z28" s="23">
        <f>3438.83</f>
        <v>3438.83</v>
      </c>
      <c r="AA28" s="23">
        <f>3875</f>
        <v>3875</v>
      </c>
      <c r="AB28" s="23">
        <f t="shared" si="39"/>
        <v>-436.17000000000007</v>
      </c>
      <c r="AC28" s="24">
        <f t="shared" si="40"/>
        <v>0.88744000000000001</v>
      </c>
      <c r="AD28" s="23">
        <f>2391.66</f>
        <v>2391.66</v>
      </c>
      <c r="AE28" s="23">
        <f>3875</f>
        <v>3875</v>
      </c>
      <c r="AF28" s="23">
        <f t="shared" si="41"/>
        <v>-1483.3400000000001</v>
      </c>
      <c r="AG28" s="24">
        <f t="shared" si="42"/>
        <v>0.6172025806451612</v>
      </c>
      <c r="AH28" s="23">
        <f>2439.08</f>
        <v>2439.08</v>
      </c>
      <c r="AI28" s="23">
        <f>3875</f>
        <v>3875</v>
      </c>
      <c r="AJ28" s="23">
        <f t="shared" si="43"/>
        <v>-1435.92</v>
      </c>
      <c r="AK28" s="24">
        <f t="shared" si="44"/>
        <v>0.62944</v>
      </c>
      <c r="AL28" s="23">
        <f>2359.06</f>
        <v>2359.06</v>
      </c>
      <c r="AM28" s="23">
        <f>3875</f>
        <v>3875</v>
      </c>
      <c r="AN28" s="23">
        <f t="shared" si="45"/>
        <v>-1515.94</v>
      </c>
      <c r="AO28" s="24">
        <f t="shared" si="46"/>
        <v>0.60878967741935486</v>
      </c>
      <c r="AP28" s="23">
        <f>1197.63</f>
        <v>1197.6300000000001</v>
      </c>
      <c r="AQ28" s="23">
        <f>3875</f>
        <v>3875</v>
      </c>
      <c r="AR28" s="23">
        <f t="shared" si="47"/>
        <v>-2677.37</v>
      </c>
      <c r="AS28" s="24">
        <f t="shared" si="48"/>
        <v>0.30906580645161291</v>
      </c>
      <c r="AT28" s="22"/>
      <c r="AU28" s="23">
        <f>3875</f>
        <v>3875</v>
      </c>
      <c r="AV28" s="23">
        <f t="shared" si="49"/>
        <v>-3875</v>
      </c>
      <c r="AW28" s="24">
        <f t="shared" si="50"/>
        <v>0</v>
      </c>
      <c r="AX28" s="23">
        <f t="shared" si="51"/>
        <v>26501.25</v>
      </c>
      <c r="AY28" s="23">
        <f t="shared" si="51"/>
        <v>46500</v>
      </c>
      <c r="AZ28" s="23">
        <f t="shared" si="52"/>
        <v>-19998.75</v>
      </c>
      <c r="BA28" s="24">
        <f t="shared" si="53"/>
        <v>0.5699193548387097</v>
      </c>
    </row>
    <row r="29" spans="1:53" x14ac:dyDescent="0.3">
      <c r="A29" s="21" t="s">
        <v>104</v>
      </c>
      <c r="B29" s="23">
        <f>27896.89</f>
        <v>27896.89</v>
      </c>
      <c r="C29" s="23">
        <f>35000</f>
        <v>35000</v>
      </c>
      <c r="D29" s="23">
        <f t="shared" si="27"/>
        <v>-7103.1100000000006</v>
      </c>
      <c r="E29" s="24">
        <f t="shared" si="28"/>
        <v>0.79705399999999993</v>
      </c>
      <c r="F29" s="23">
        <f>30747.74</f>
        <v>30747.74</v>
      </c>
      <c r="G29" s="23">
        <f>35000</f>
        <v>35000</v>
      </c>
      <c r="H29" s="23">
        <f t="shared" si="29"/>
        <v>-4252.2599999999984</v>
      </c>
      <c r="I29" s="24">
        <f t="shared" si="30"/>
        <v>0.87850685714285714</v>
      </c>
      <c r="J29" s="23">
        <f>30813.95</f>
        <v>30813.95</v>
      </c>
      <c r="K29" s="23">
        <f>35000</f>
        <v>35000</v>
      </c>
      <c r="L29" s="23">
        <f t="shared" si="31"/>
        <v>-4186.0499999999993</v>
      </c>
      <c r="M29" s="24">
        <f t="shared" si="32"/>
        <v>0.88039857142857147</v>
      </c>
      <c r="N29" s="23">
        <f>30874.03</f>
        <v>30874.03</v>
      </c>
      <c r="O29" s="23">
        <f>35000</f>
        <v>35000</v>
      </c>
      <c r="P29" s="23">
        <f t="shared" si="33"/>
        <v>-4125.9700000000012</v>
      </c>
      <c r="Q29" s="24">
        <f t="shared" si="34"/>
        <v>0.88211514285714288</v>
      </c>
      <c r="R29" s="23">
        <f>31921.66</f>
        <v>31921.66</v>
      </c>
      <c r="S29" s="23">
        <f>35000</f>
        <v>35000</v>
      </c>
      <c r="T29" s="23">
        <f t="shared" si="35"/>
        <v>-3078.34</v>
      </c>
      <c r="U29" s="24">
        <f t="shared" si="36"/>
        <v>0.91204742857142862</v>
      </c>
      <c r="V29" s="23">
        <f>30103.81</f>
        <v>30103.81</v>
      </c>
      <c r="W29" s="23">
        <f>35000</f>
        <v>35000</v>
      </c>
      <c r="X29" s="23">
        <f t="shared" si="37"/>
        <v>-4896.1899999999987</v>
      </c>
      <c r="Y29" s="24">
        <f t="shared" si="38"/>
        <v>0.86010885714285723</v>
      </c>
      <c r="Z29" s="23">
        <f>42096.54</f>
        <v>42096.54</v>
      </c>
      <c r="AA29" s="23">
        <f>35000</f>
        <v>35000</v>
      </c>
      <c r="AB29" s="23">
        <f t="shared" si="39"/>
        <v>7096.5400000000009</v>
      </c>
      <c r="AC29" s="24">
        <f t="shared" si="40"/>
        <v>1.2027582857142858</v>
      </c>
      <c r="AD29" s="23">
        <f>31208.74</f>
        <v>31208.74</v>
      </c>
      <c r="AE29" s="23">
        <f>35000</f>
        <v>35000</v>
      </c>
      <c r="AF29" s="23">
        <f t="shared" si="41"/>
        <v>-3791.2599999999984</v>
      </c>
      <c r="AG29" s="24">
        <f t="shared" si="42"/>
        <v>0.89167828571428576</v>
      </c>
      <c r="AH29" s="23">
        <f>30341.7</f>
        <v>30341.7</v>
      </c>
      <c r="AI29" s="23">
        <f>35000</f>
        <v>35000</v>
      </c>
      <c r="AJ29" s="23">
        <f t="shared" si="43"/>
        <v>-4658.2999999999993</v>
      </c>
      <c r="AK29" s="24">
        <f t="shared" si="44"/>
        <v>0.86690571428571428</v>
      </c>
      <c r="AL29" s="23">
        <f>30792.09</f>
        <v>30792.09</v>
      </c>
      <c r="AM29" s="23">
        <f>35000</f>
        <v>35000</v>
      </c>
      <c r="AN29" s="23">
        <f t="shared" si="45"/>
        <v>-4207.91</v>
      </c>
      <c r="AO29" s="24">
        <f t="shared" si="46"/>
        <v>0.87977400000000006</v>
      </c>
      <c r="AP29" s="23">
        <f>15618.14</f>
        <v>15618.14</v>
      </c>
      <c r="AQ29" s="23">
        <f>35000</f>
        <v>35000</v>
      </c>
      <c r="AR29" s="23">
        <f t="shared" si="47"/>
        <v>-19381.86</v>
      </c>
      <c r="AS29" s="24">
        <f t="shared" si="48"/>
        <v>0.44623257142857142</v>
      </c>
      <c r="AT29" s="22"/>
      <c r="AU29" s="23">
        <f>35000</f>
        <v>35000</v>
      </c>
      <c r="AV29" s="23">
        <f t="shared" si="49"/>
        <v>-35000</v>
      </c>
      <c r="AW29" s="24">
        <f t="shared" si="50"/>
        <v>0</v>
      </c>
      <c r="AX29" s="23">
        <f t="shared" si="51"/>
        <v>332415.29000000004</v>
      </c>
      <c r="AY29" s="23">
        <f t="shared" si="51"/>
        <v>420000</v>
      </c>
      <c r="AZ29" s="23">
        <f t="shared" si="52"/>
        <v>-87584.709999999963</v>
      </c>
      <c r="BA29" s="24">
        <f t="shared" si="53"/>
        <v>0.79146497619047629</v>
      </c>
    </row>
    <row r="30" spans="1:53" x14ac:dyDescent="0.3">
      <c r="A30" s="21" t="s">
        <v>105</v>
      </c>
      <c r="B30" s="25">
        <f>((B27)+(B28))+(B29)</f>
        <v>32352.39</v>
      </c>
      <c r="C30" s="25">
        <f>((C27)+(C28))+(C29)</f>
        <v>38875</v>
      </c>
      <c r="D30" s="25">
        <f t="shared" si="27"/>
        <v>-6522.6100000000006</v>
      </c>
      <c r="E30" s="26">
        <f t="shared" si="28"/>
        <v>0.83221581993569127</v>
      </c>
      <c r="F30" s="25">
        <f>((F27)+(F28))+(F29)</f>
        <v>33209.83</v>
      </c>
      <c r="G30" s="25">
        <f>((G27)+(G28))+(G29)</f>
        <v>38875</v>
      </c>
      <c r="H30" s="25">
        <f t="shared" si="29"/>
        <v>-5665.1699999999983</v>
      </c>
      <c r="I30" s="26">
        <f t="shared" si="30"/>
        <v>0.85427215434083603</v>
      </c>
      <c r="J30" s="25">
        <f>((J27)+(J28))+(J29)</f>
        <v>33253.67</v>
      </c>
      <c r="K30" s="25">
        <f>((K27)+(K28))+(K29)</f>
        <v>38875</v>
      </c>
      <c r="L30" s="25">
        <f t="shared" si="31"/>
        <v>-5621.3300000000017</v>
      </c>
      <c r="M30" s="26">
        <f t="shared" si="32"/>
        <v>0.85539987138263662</v>
      </c>
      <c r="N30" s="25">
        <f>((N27)+(N28))+(N29)</f>
        <v>33294.129999999997</v>
      </c>
      <c r="O30" s="25">
        <f>((O27)+(O28))+(O29)</f>
        <v>38875</v>
      </c>
      <c r="P30" s="25">
        <f t="shared" si="33"/>
        <v>-5580.8700000000026</v>
      </c>
      <c r="Q30" s="26">
        <f t="shared" si="34"/>
        <v>0.85644064308681667</v>
      </c>
      <c r="R30" s="25">
        <f>((R27)+(R28))+(R29)</f>
        <v>34388.92</v>
      </c>
      <c r="S30" s="25">
        <f>((S27)+(S28))+(S29)</f>
        <v>38875</v>
      </c>
      <c r="T30" s="25">
        <f t="shared" si="35"/>
        <v>-4486.0800000000017</v>
      </c>
      <c r="U30" s="26">
        <f t="shared" si="36"/>
        <v>0.88460244372990349</v>
      </c>
      <c r="V30" s="25">
        <f>((V27)+(V28))+(V29)</f>
        <v>33909.25</v>
      </c>
      <c r="W30" s="25">
        <f>((W27)+(W28))+(W29)</f>
        <v>38875</v>
      </c>
      <c r="X30" s="25">
        <f t="shared" si="37"/>
        <v>-4965.75</v>
      </c>
      <c r="Y30" s="26">
        <f t="shared" si="38"/>
        <v>0.87226366559485535</v>
      </c>
      <c r="Z30" s="25">
        <f>((Z27)+(Z28))+(Z29)</f>
        <v>48356.05</v>
      </c>
      <c r="AA30" s="25">
        <f>((AA27)+(AA28))+(AA29)</f>
        <v>38875</v>
      </c>
      <c r="AB30" s="25">
        <f t="shared" si="39"/>
        <v>9481.0500000000029</v>
      </c>
      <c r="AC30" s="26">
        <f t="shared" si="40"/>
        <v>1.2438855305466239</v>
      </c>
      <c r="AD30" s="25">
        <f>((AD27)+(AD28))+(AD29)</f>
        <v>33600.400000000001</v>
      </c>
      <c r="AE30" s="25">
        <f>((AE27)+(AE28))+(AE29)</f>
        <v>38875</v>
      </c>
      <c r="AF30" s="25">
        <f t="shared" si="41"/>
        <v>-5274.5999999999985</v>
      </c>
      <c r="AG30" s="26">
        <f t="shared" si="42"/>
        <v>0.86431897106109323</v>
      </c>
      <c r="AH30" s="25">
        <f>((AH27)+(AH28))+(AH29)</f>
        <v>34241.68</v>
      </c>
      <c r="AI30" s="25">
        <f>((AI27)+(AI28))+(AI29)</f>
        <v>38875</v>
      </c>
      <c r="AJ30" s="25">
        <f t="shared" si="43"/>
        <v>-4633.32</v>
      </c>
      <c r="AK30" s="26">
        <f t="shared" si="44"/>
        <v>0.88081491961414793</v>
      </c>
      <c r="AL30" s="25">
        <f>((AL27)+(AL28))+(AL29)</f>
        <v>33151.15</v>
      </c>
      <c r="AM30" s="25">
        <f>((AM27)+(AM28))+(AM29)</f>
        <v>38875</v>
      </c>
      <c r="AN30" s="25">
        <f t="shared" si="45"/>
        <v>-5723.8499999999985</v>
      </c>
      <c r="AO30" s="26">
        <f t="shared" si="46"/>
        <v>0.85276270096463025</v>
      </c>
      <c r="AP30" s="25">
        <f>((AP27)+(AP28))+(AP29)</f>
        <v>16815.77</v>
      </c>
      <c r="AQ30" s="25">
        <f>((AQ27)+(AQ28))+(AQ29)</f>
        <v>38875</v>
      </c>
      <c r="AR30" s="25">
        <f t="shared" si="47"/>
        <v>-22059.23</v>
      </c>
      <c r="AS30" s="26">
        <f t="shared" si="48"/>
        <v>0.43256</v>
      </c>
      <c r="AT30" s="25">
        <f>((AT27)+(AT28))+(AT29)</f>
        <v>0</v>
      </c>
      <c r="AU30" s="25">
        <f>((AU27)+(AU28))+(AU29)</f>
        <v>38875</v>
      </c>
      <c r="AV30" s="25">
        <f t="shared" si="49"/>
        <v>-38875</v>
      </c>
      <c r="AW30" s="26">
        <f t="shared" si="50"/>
        <v>0</v>
      </c>
      <c r="AX30" s="25">
        <f t="shared" si="51"/>
        <v>366573.24000000005</v>
      </c>
      <c r="AY30" s="25">
        <f t="shared" si="51"/>
        <v>466500</v>
      </c>
      <c r="AZ30" s="25">
        <f t="shared" si="52"/>
        <v>-99926.759999999951</v>
      </c>
      <c r="BA30" s="26">
        <f t="shared" si="53"/>
        <v>0.78579472668810302</v>
      </c>
    </row>
    <row r="31" spans="1:53" x14ac:dyDescent="0.3">
      <c r="A31" s="21" t="s">
        <v>106</v>
      </c>
      <c r="B31" s="23">
        <f>0.05</f>
        <v>0.05</v>
      </c>
      <c r="C31" s="22"/>
      <c r="D31" s="23">
        <f t="shared" si="27"/>
        <v>0.05</v>
      </c>
      <c r="E31" s="24" t="str">
        <f t="shared" si="28"/>
        <v/>
      </c>
      <c r="F31" s="22"/>
      <c r="G31" s="22"/>
      <c r="H31" s="23">
        <f t="shared" si="29"/>
        <v>0</v>
      </c>
      <c r="I31" s="24" t="str">
        <f t="shared" si="30"/>
        <v/>
      </c>
      <c r="J31" s="22"/>
      <c r="K31" s="22"/>
      <c r="L31" s="23">
        <f t="shared" si="31"/>
        <v>0</v>
      </c>
      <c r="M31" s="24" t="str">
        <f t="shared" si="32"/>
        <v/>
      </c>
      <c r="N31" s="22"/>
      <c r="O31" s="22"/>
      <c r="P31" s="23">
        <f t="shared" si="33"/>
        <v>0</v>
      </c>
      <c r="Q31" s="24" t="str">
        <f t="shared" si="34"/>
        <v/>
      </c>
      <c r="R31" s="22"/>
      <c r="S31" s="22"/>
      <c r="T31" s="23">
        <f t="shared" si="35"/>
        <v>0</v>
      </c>
      <c r="U31" s="24" t="str">
        <f t="shared" si="36"/>
        <v/>
      </c>
      <c r="V31" s="22"/>
      <c r="W31" s="22"/>
      <c r="X31" s="23">
        <f t="shared" si="37"/>
        <v>0</v>
      </c>
      <c r="Y31" s="24" t="str">
        <f t="shared" si="38"/>
        <v/>
      </c>
      <c r="Z31" s="23">
        <f>188.13</f>
        <v>188.13</v>
      </c>
      <c r="AA31" s="22"/>
      <c r="AB31" s="23">
        <f t="shared" si="39"/>
        <v>188.13</v>
      </c>
      <c r="AC31" s="24" t="str">
        <f t="shared" si="40"/>
        <v/>
      </c>
      <c r="AD31" s="22"/>
      <c r="AE31" s="22"/>
      <c r="AF31" s="23">
        <f t="shared" si="41"/>
        <v>0</v>
      </c>
      <c r="AG31" s="24" t="str">
        <f t="shared" si="42"/>
        <v/>
      </c>
      <c r="AH31" s="23">
        <f>19.09</f>
        <v>19.09</v>
      </c>
      <c r="AI31" s="22"/>
      <c r="AJ31" s="23">
        <f t="shared" si="43"/>
        <v>19.09</v>
      </c>
      <c r="AK31" s="24" t="str">
        <f t="shared" si="44"/>
        <v/>
      </c>
      <c r="AL31" s="23">
        <f>37.5</f>
        <v>37.5</v>
      </c>
      <c r="AM31" s="22"/>
      <c r="AN31" s="23">
        <f t="shared" si="45"/>
        <v>37.5</v>
      </c>
      <c r="AO31" s="24" t="str">
        <f t="shared" si="46"/>
        <v/>
      </c>
      <c r="AP31" s="22"/>
      <c r="AQ31" s="22"/>
      <c r="AR31" s="23">
        <f t="shared" si="47"/>
        <v>0</v>
      </c>
      <c r="AS31" s="24" t="str">
        <f t="shared" si="48"/>
        <v/>
      </c>
      <c r="AT31" s="22"/>
      <c r="AU31" s="22"/>
      <c r="AV31" s="23">
        <f t="shared" si="49"/>
        <v>0</v>
      </c>
      <c r="AW31" s="24" t="str">
        <f t="shared" si="50"/>
        <v/>
      </c>
      <c r="AX31" s="23">
        <f t="shared" si="51"/>
        <v>244.77</v>
      </c>
      <c r="AY31" s="23">
        <f t="shared" si="51"/>
        <v>0</v>
      </c>
      <c r="AZ31" s="23">
        <f t="shared" si="52"/>
        <v>244.77</v>
      </c>
      <c r="BA31" s="24" t="str">
        <f t="shared" si="53"/>
        <v/>
      </c>
    </row>
    <row r="32" spans="1:53" x14ac:dyDescent="0.3">
      <c r="A32" s="21" t="s">
        <v>107</v>
      </c>
      <c r="B32" s="23">
        <f>248</f>
        <v>248</v>
      </c>
      <c r="C32" s="23">
        <f>1000</f>
        <v>1000</v>
      </c>
      <c r="D32" s="23">
        <f t="shared" si="27"/>
        <v>-752</v>
      </c>
      <c r="E32" s="24">
        <f t="shared" si="28"/>
        <v>0.248</v>
      </c>
      <c r="F32" s="23">
        <f>198</f>
        <v>198</v>
      </c>
      <c r="G32" s="23">
        <f>1000</f>
        <v>1000</v>
      </c>
      <c r="H32" s="23">
        <f t="shared" si="29"/>
        <v>-802</v>
      </c>
      <c r="I32" s="24">
        <f t="shared" si="30"/>
        <v>0.19800000000000001</v>
      </c>
      <c r="J32" s="23">
        <f>198</f>
        <v>198</v>
      </c>
      <c r="K32" s="23">
        <f>1000</f>
        <v>1000</v>
      </c>
      <c r="L32" s="23">
        <f t="shared" si="31"/>
        <v>-802</v>
      </c>
      <c r="M32" s="24">
        <f t="shared" si="32"/>
        <v>0.19800000000000001</v>
      </c>
      <c r="N32" s="23">
        <f>198</f>
        <v>198</v>
      </c>
      <c r="O32" s="23">
        <f>1000</f>
        <v>1000</v>
      </c>
      <c r="P32" s="23">
        <f t="shared" si="33"/>
        <v>-802</v>
      </c>
      <c r="Q32" s="24">
        <f t="shared" si="34"/>
        <v>0.19800000000000001</v>
      </c>
      <c r="R32" s="23">
        <f>4173</f>
        <v>4173</v>
      </c>
      <c r="S32" s="23">
        <f>1000</f>
        <v>1000</v>
      </c>
      <c r="T32" s="23">
        <f t="shared" si="35"/>
        <v>3173</v>
      </c>
      <c r="U32" s="24">
        <f t="shared" si="36"/>
        <v>4.173</v>
      </c>
      <c r="V32" s="23">
        <f>3948</f>
        <v>3948</v>
      </c>
      <c r="W32" s="23">
        <f>1000</f>
        <v>1000</v>
      </c>
      <c r="X32" s="23">
        <f t="shared" si="37"/>
        <v>2948</v>
      </c>
      <c r="Y32" s="24">
        <f t="shared" si="38"/>
        <v>3.948</v>
      </c>
      <c r="Z32" s="23">
        <f>198</f>
        <v>198</v>
      </c>
      <c r="AA32" s="23">
        <f>1000</f>
        <v>1000</v>
      </c>
      <c r="AB32" s="23">
        <f t="shared" si="39"/>
        <v>-802</v>
      </c>
      <c r="AC32" s="24">
        <f t="shared" si="40"/>
        <v>0.19800000000000001</v>
      </c>
      <c r="AD32" s="23">
        <f>186</f>
        <v>186</v>
      </c>
      <c r="AE32" s="23">
        <f>1000</f>
        <v>1000</v>
      </c>
      <c r="AF32" s="23">
        <f t="shared" si="41"/>
        <v>-814</v>
      </c>
      <c r="AG32" s="24">
        <f t="shared" si="42"/>
        <v>0.186</v>
      </c>
      <c r="AH32" s="23">
        <f>198</f>
        <v>198</v>
      </c>
      <c r="AI32" s="23">
        <f>1000</f>
        <v>1000</v>
      </c>
      <c r="AJ32" s="23">
        <f t="shared" si="43"/>
        <v>-802</v>
      </c>
      <c r="AK32" s="24">
        <f t="shared" si="44"/>
        <v>0.19800000000000001</v>
      </c>
      <c r="AL32" s="23">
        <f>198</f>
        <v>198</v>
      </c>
      <c r="AM32" s="23">
        <f>1000</f>
        <v>1000</v>
      </c>
      <c r="AN32" s="23">
        <f t="shared" si="45"/>
        <v>-802</v>
      </c>
      <c r="AO32" s="24">
        <f t="shared" si="46"/>
        <v>0.19800000000000001</v>
      </c>
      <c r="AP32" s="22"/>
      <c r="AQ32" s="23">
        <f>1000</f>
        <v>1000</v>
      </c>
      <c r="AR32" s="23">
        <f t="shared" si="47"/>
        <v>-1000</v>
      </c>
      <c r="AS32" s="24">
        <f t="shared" si="48"/>
        <v>0</v>
      </c>
      <c r="AT32" s="22"/>
      <c r="AU32" s="23">
        <f>1000</f>
        <v>1000</v>
      </c>
      <c r="AV32" s="23">
        <f t="shared" si="49"/>
        <v>-1000</v>
      </c>
      <c r="AW32" s="24">
        <f t="shared" si="50"/>
        <v>0</v>
      </c>
      <c r="AX32" s="23">
        <f t="shared" si="51"/>
        <v>9743</v>
      </c>
      <c r="AY32" s="23">
        <f t="shared" si="51"/>
        <v>12000</v>
      </c>
      <c r="AZ32" s="23">
        <f t="shared" si="52"/>
        <v>-2257</v>
      </c>
      <c r="BA32" s="24">
        <f t="shared" si="53"/>
        <v>0.81191666666666662</v>
      </c>
    </row>
    <row r="33" spans="1:53" x14ac:dyDescent="0.3">
      <c r="A33" s="21" t="s">
        <v>108</v>
      </c>
      <c r="B33" s="22"/>
      <c r="C33" s="23">
        <f>1000</f>
        <v>1000</v>
      </c>
      <c r="D33" s="23">
        <f t="shared" si="27"/>
        <v>-1000</v>
      </c>
      <c r="E33" s="24">
        <f t="shared" si="28"/>
        <v>0</v>
      </c>
      <c r="F33" s="22"/>
      <c r="G33" s="23">
        <f>1000</f>
        <v>1000</v>
      </c>
      <c r="H33" s="23">
        <f t="shared" si="29"/>
        <v>-1000</v>
      </c>
      <c r="I33" s="24">
        <f t="shared" si="30"/>
        <v>0</v>
      </c>
      <c r="J33" s="23">
        <f>850</f>
        <v>850</v>
      </c>
      <c r="K33" s="23">
        <f>1000</f>
        <v>1000</v>
      </c>
      <c r="L33" s="23">
        <f t="shared" si="31"/>
        <v>-150</v>
      </c>
      <c r="M33" s="24">
        <f t="shared" si="32"/>
        <v>0.85</v>
      </c>
      <c r="N33" s="23">
        <f>248.14</f>
        <v>248.14</v>
      </c>
      <c r="O33" s="23">
        <f>1000</f>
        <v>1000</v>
      </c>
      <c r="P33" s="23">
        <f t="shared" si="33"/>
        <v>-751.86</v>
      </c>
      <c r="Q33" s="24">
        <f t="shared" si="34"/>
        <v>0.24814</v>
      </c>
      <c r="R33" s="22"/>
      <c r="S33" s="23">
        <f>1000</f>
        <v>1000</v>
      </c>
      <c r="T33" s="23">
        <f t="shared" si="35"/>
        <v>-1000</v>
      </c>
      <c r="U33" s="24">
        <f t="shared" si="36"/>
        <v>0</v>
      </c>
      <c r="V33" s="23">
        <f>327.41</f>
        <v>327.41000000000003</v>
      </c>
      <c r="W33" s="23">
        <f>1000</f>
        <v>1000</v>
      </c>
      <c r="X33" s="23">
        <f t="shared" si="37"/>
        <v>-672.58999999999992</v>
      </c>
      <c r="Y33" s="24">
        <f t="shared" si="38"/>
        <v>0.32741000000000003</v>
      </c>
      <c r="Z33" s="23">
        <f>150</f>
        <v>150</v>
      </c>
      <c r="AA33" s="23">
        <f>1000</f>
        <v>1000</v>
      </c>
      <c r="AB33" s="23">
        <f t="shared" si="39"/>
        <v>-850</v>
      </c>
      <c r="AC33" s="24">
        <f t="shared" si="40"/>
        <v>0.15</v>
      </c>
      <c r="AD33" s="22"/>
      <c r="AE33" s="23">
        <f>1000</f>
        <v>1000</v>
      </c>
      <c r="AF33" s="23">
        <f t="shared" si="41"/>
        <v>-1000</v>
      </c>
      <c r="AG33" s="24">
        <f t="shared" si="42"/>
        <v>0</v>
      </c>
      <c r="AH33" s="23">
        <f>949.51</f>
        <v>949.51</v>
      </c>
      <c r="AI33" s="23">
        <f>1000</f>
        <v>1000</v>
      </c>
      <c r="AJ33" s="23">
        <f t="shared" si="43"/>
        <v>-50.490000000000009</v>
      </c>
      <c r="AK33" s="24">
        <f t="shared" si="44"/>
        <v>0.94950999999999997</v>
      </c>
      <c r="AL33" s="22"/>
      <c r="AM33" s="23">
        <f>1000</f>
        <v>1000</v>
      </c>
      <c r="AN33" s="23">
        <f t="shared" si="45"/>
        <v>-1000</v>
      </c>
      <c r="AO33" s="24">
        <f t="shared" si="46"/>
        <v>0</v>
      </c>
      <c r="AP33" s="23">
        <f>37.52</f>
        <v>37.520000000000003</v>
      </c>
      <c r="AQ33" s="23">
        <f>1000</f>
        <v>1000</v>
      </c>
      <c r="AR33" s="23">
        <f t="shared" si="47"/>
        <v>-962.48</v>
      </c>
      <c r="AS33" s="24">
        <f t="shared" si="48"/>
        <v>3.7520000000000005E-2</v>
      </c>
      <c r="AT33" s="22"/>
      <c r="AU33" s="23">
        <f>1000</f>
        <v>1000</v>
      </c>
      <c r="AV33" s="23">
        <f t="shared" si="49"/>
        <v>-1000</v>
      </c>
      <c r="AW33" s="24">
        <f t="shared" si="50"/>
        <v>0</v>
      </c>
      <c r="AX33" s="23">
        <f t="shared" si="51"/>
        <v>2562.58</v>
      </c>
      <c r="AY33" s="23">
        <f t="shared" si="51"/>
        <v>12000</v>
      </c>
      <c r="AZ33" s="23">
        <f t="shared" si="52"/>
        <v>-9437.42</v>
      </c>
      <c r="BA33" s="24">
        <f t="shared" si="53"/>
        <v>0.21354833333333334</v>
      </c>
    </row>
    <row r="34" spans="1:53" x14ac:dyDescent="0.3">
      <c r="A34" s="21" t="s">
        <v>109</v>
      </c>
      <c r="B34" s="23">
        <f>6</f>
        <v>6</v>
      </c>
      <c r="C34" s="23">
        <f>1250</f>
        <v>1250</v>
      </c>
      <c r="D34" s="23">
        <f t="shared" si="27"/>
        <v>-1244</v>
      </c>
      <c r="E34" s="24">
        <f t="shared" si="28"/>
        <v>4.7999999999999996E-3</v>
      </c>
      <c r="F34" s="22"/>
      <c r="G34" s="23">
        <f>1250</f>
        <v>1250</v>
      </c>
      <c r="H34" s="23">
        <f t="shared" si="29"/>
        <v>-1250</v>
      </c>
      <c r="I34" s="24">
        <f t="shared" si="30"/>
        <v>0</v>
      </c>
      <c r="J34" s="22"/>
      <c r="K34" s="23">
        <f>1250</f>
        <v>1250</v>
      </c>
      <c r="L34" s="23">
        <f t="shared" si="31"/>
        <v>-1250</v>
      </c>
      <c r="M34" s="24">
        <f t="shared" si="32"/>
        <v>0</v>
      </c>
      <c r="N34" s="23">
        <f>78</f>
        <v>78</v>
      </c>
      <c r="O34" s="23">
        <f>1250</f>
        <v>1250</v>
      </c>
      <c r="P34" s="23">
        <f t="shared" si="33"/>
        <v>-1172</v>
      </c>
      <c r="Q34" s="24">
        <f t="shared" si="34"/>
        <v>6.2399999999999997E-2</v>
      </c>
      <c r="R34" s="22"/>
      <c r="S34" s="23">
        <f>1250</f>
        <v>1250</v>
      </c>
      <c r="T34" s="23">
        <f t="shared" si="35"/>
        <v>-1250</v>
      </c>
      <c r="U34" s="24">
        <f t="shared" si="36"/>
        <v>0</v>
      </c>
      <c r="V34" s="23">
        <f>294</f>
        <v>294</v>
      </c>
      <c r="W34" s="23">
        <f>1250</f>
        <v>1250</v>
      </c>
      <c r="X34" s="23">
        <f t="shared" si="37"/>
        <v>-956</v>
      </c>
      <c r="Y34" s="24">
        <f t="shared" si="38"/>
        <v>0.23519999999999999</v>
      </c>
      <c r="Z34" s="23">
        <f>616</f>
        <v>616</v>
      </c>
      <c r="AA34" s="23">
        <f>1250</f>
        <v>1250</v>
      </c>
      <c r="AB34" s="23">
        <f t="shared" si="39"/>
        <v>-634</v>
      </c>
      <c r="AC34" s="24">
        <f t="shared" si="40"/>
        <v>0.49280000000000002</v>
      </c>
      <c r="AD34" s="22"/>
      <c r="AE34" s="23">
        <f>1250</f>
        <v>1250</v>
      </c>
      <c r="AF34" s="23">
        <f t="shared" si="41"/>
        <v>-1250</v>
      </c>
      <c r="AG34" s="24">
        <f t="shared" si="42"/>
        <v>0</v>
      </c>
      <c r="AH34" s="23">
        <f>115.5</f>
        <v>115.5</v>
      </c>
      <c r="AI34" s="23">
        <f>1250</f>
        <v>1250</v>
      </c>
      <c r="AJ34" s="23">
        <f t="shared" si="43"/>
        <v>-1134.5</v>
      </c>
      <c r="AK34" s="24">
        <f t="shared" si="44"/>
        <v>9.2399999999999996E-2</v>
      </c>
      <c r="AL34" s="22"/>
      <c r="AM34" s="23">
        <f>1250</f>
        <v>1250</v>
      </c>
      <c r="AN34" s="23">
        <f t="shared" si="45"/>
        <v>-1250</v>
      </c>
      <c r="AO34" s="24">
        <f t="shared" si="46"/>
        <v>0</v>
      </c>
      <c r="AP34" s="23">
        <f>847</f>
        <v>847</v>
      </c>
      <c r="AQ34" s="23">
        <f>1250</f>
        <v>1250</v>
      </c>
      <c r="AR34" s="23">
        <f t="shared" si="47"/>
        <v>-403</v>
      </c>
      <c r="AS34" s="24">
        <f t="shared" si="48"/>
        <v>0.67759999999999998</v>
      </c>
      <c r="AT34" s="22"/>
      <c r="AU34" s="23">
        <f>1250</f>
        <v>1250</v>
      </c>
      <c r="AV34" s="23">
        <f t="shared" si="49"/>
        <v>-1250</v>
      </c>
      <c r="AW34" s="24">
        <f t="shared" si="50"/>
        <v>0</v>
      </c>
      <c r="AX34" s="23">
        <f t="shared" si="51"/>
        <v>1956.5</v>
      </c>
      <c r="AY34" s="23">
        <f t="shared" si="51"/>
        <v>15000</v>
      </c>
      <c r="AZ34" s="23">
        <f t="shared" si="52"/>
        <v>-13043.5</v>
      </c>
      <c r="BA34" s="24">
        <f t="shared" si="53"/>
        <v>0.13043333333333335</v>
      </c>
    </row>
    <row r="35" spans="1:53" x14ac:dyDescent="0.3">
      <c r="A35" s="21" t="s">
        <v>110</v>
      </c>
      <c r="B35" s="22"/>
      <c r="C35" s="22"/>
      <c r="D35" s="23">
        <f t="shared" si="27"/>
        <v>0</v>
      </c>
      <c r="E35" s="24" t="str">
        <f t="shared" si="28"/>
        <v/>
      </c>
      <c r="F35" s="22"/>
      <c r="G35" s="22"/>
      <c r="H35" s="23">
        <f t="shared" si="29"/>
        <v>0</v>
      </c>
      <c r="I35" s="24" t="str">
        <f t="shared" si="30"/>
        <v/>
      </c>
      <c r="J35" s="22"/>
      <c r="K35" s="22"/>
      <c r="L35" s="23">
        <f t="shared" si="31"/>
        <v>0</v>
      </c>
      <c r="M35" s="24" t="str">
        <f t="shared" si="32"/>
        <v/>
      </c>
      <c r="N35" s="22"/>
      <c r="O35" s="22"/>
      <c r="P35" s="23">
        <f t="shared" si="33"/>
        <v>0</v>
      </c>
      <c r="Q35" s="24" t="str">
        <f t="shared" si="34"/>
        <v/>
      </c>
      <c r="R35" s="22"/>
      <c r="S35" s="22"/>
      <c r="T35" s="23">
        <f t="shared" si="35"/>
        <v>0</v>
      </c>
      <c r="U35" s="24" t="str">
        <f t="shared" si="36"/>
        <v/>
      </c>
      <c r="V35" s="22"/>
      <c r="W35" s="22"/>
      <c r="X35" s="23">
        <f t="shared" si="37"/>
        <v>0</v>
      </c>
      <c r="Y35" s="24" t="str">
        <f t="shared" si="38"/>
        <v/>
      </c>
      <c r="Z35" s="22"/>
      <c r="AA35" s="22"/>
      <c r="AB35" s="23">
        <f t="shared" si="39"/>
        <v>0</v>
      </c>
      <c r="AC35" s="24" t="str">
        <f t="shared" si="40"/>
        <v/>
      </c>
      <c r="AD35" s="22"/>
      <c r="AE35" s="22"/>
      <c r="AF35" s="23">
        <f t="shared" si="41"/>
        <v>0</v>
      </c>
      <c r="AG35" s="24" t="str">
        <f t="shared" si="42"/>
        <v/>
      </c>
      <c r="AH35" s="22"/>
      <c r="AI35" s="22"/>
      <c r="AJ35" s="23">
        <f t="shared" si="43"/>
        <v>0</v>
      </c>
      <c r="AK35" s="24" t="str">
        <f t="shared" si="44"/>
        <v/>
      </c>
      <c r="AL35" s="22"/>
      <c r="AM35" s="22"/>
      <c r="AN35" s="23">
        <f t="shared" si="45"/>
        <v>0</v>
      </c>
      <c r="AO35" s="24" t="str">
        <f t="shared" si="46"/>
        <v/>
      </c>
      <c r="AP35" s="22"/>
      <c r="AQ35" s="22"/>
      <c r="AR35" s="23">
        <f t="shared" si="47"/>
        <v>0</v>
      </c>
      <c r="AS35" s="24" t="str">
        <f t="shared" si="48"/>
        <v/>
      </c>
      <c r="AT35" s="22"/>
      <c r="AU35" s="22"/>
      <c r="AV35" s="23">
        <f t="shared" si="49"/>
        <v>0</v>
      </c>
      <c r="AW35" s="24" t="str">
        <f t="shared" si="50"/>
        <v/>
      </c>
      <c r="AX35" s="23">
        <f t="shared" si="51"/>
        <v>0</v>
      </c>
      <c r="AY35" s="23">
        <f t="shared" si="51"/>
        <v>0</v>
      </c>
      <c r="AZ35" s="23">
        <f t="shared" si="52"/>
        <v>0</v>
      </c>
      <c r="BA35" s="24" t="str">
        <f t="shared" si="53"/>
        <v/>
      </c>
    </row>
    <row r="36" spans="1:53" x14ac:dyDescent="0.3">
      <c r="A36" s="21" t="s">
        <v>111</v>
      </c>
      <c r="B36" s="22"/>
      <c r="C36" s="22"/>
      <c r="D36" s="23">
        <f t="shared" si="27"/>
        <v>0</v>
      </c>
      <c r="E36" s="24" t="str">
        <f t="shared" si="28"/>
        <v/>
      </c>
      <c r="F36" s="22"/>
      <c r="G36" s="22"/>
      <c r="H36" s="23">
        <f t="shared" si="29"/>
        <v>0</v>
      </c>
      <c r="I36" s="24" t="str">
        <f t="shared" si="30"/>
        <v/>
      </c>
      <c r="J36" s="22"/>
      <c r="K36" s="22"/>
      <c r="L36" s="23">
        <f t="shared" si="31"/>
        <v>0</v>
      </c>
      <c r="M36" s="24" t="str">
        <f t="shared" si="32"/>
        <v/>
      </c>
      <c r="N36" s="22"/>
      <c r="O36" s="22"/>
      <c r="P36" s="23">
        <f t="shared" si="33"/>
        <v>0</v>
      </c>
      <c r="Q36" s="24" t="str">
        <f t="shared" si="34"/>
        <v/>
      </c>
      <c r="R36" s="22"/>
      <c r="S36" s="22"/>
      <c r="T36" s="23">
        <f t="shared" si="35"/>
        <v>0</v>
      </c>
      <c r="U36" s="24" t="str">
        <f t="shared" si="36"/>
        <v/>
      </c>
      <c r="V36" s="22"/>
      <c r="W36" s="22"/>
      <c r="X36" s="23">
        <f t="shared" si="37"/>
        <v>0</v>
      </c>
      <c r="Y36" s="24" t="str">
        <f t="shared" si="38"/>
        <v/>
      </c>
      <c r="Z36" s="22"/>
      <c r="AA36" s="22"/>
      <c r="AB36" s="23">
        <f t="shared" si="39"/>
        <v>0</v>
      </c>
      <c r="AC36" s="24" t="str">
        <f t="shared" si="40"/>
        <v/>
      </c>
      <c r="AD36" s="22"/>
      <c r="AE36" s="22"/>
      <c r="AF36" s="23">
        <f t="shared" si="41"/>
        <v>0</v>
      </c>
      <c r="AG36" s="24" t="str">
        <f t="shared" si="42"/>
        <v/>
      </c>
      <c r="AH36" s="22"/>
      <c r="AI36" s="22"/>
      <c r="AJ36" s="23">
        <f t="shared" si="43"/>
        <v>0</v>
      </c>
      <c r="AK36" s="24" t="str">
        <f t="shared" si="44"/>
        <v/>
      </c>
      <c r="AL36" s="22"/>
      <c r="AM36" s="22"/>
      <c r="AN36" s="23">
        <f t="shared" si="45"/>
        <v>0</v>
      </c>
      <c r="AO36" s="24" t="str">
        <f t="shared" si="46"/>
        <v/>
      </c>
      <c r="AP36" s="22"/>
      <c r="AQ36" s="22"/>
      <c r="AR36" s="23">
        <f t="shared" si="47"/>
        <v>0</v>
      </c>
      <c r="AS36" s="24" t="str">
        <f t="shared" si="48"/>
        <v/>
      </c>
      <c r="AT36" s="22"/>
      <c r="AU36" s="22"/>
      <c r="AV36" s="23">
        <f t="shared" si="49"/>
        <v>0</v>
      </c>
      <c r="AW36" s="24" t="str">
        <f t="shared" si="50"/>
        <v/>
      </c>
      <c r="AX36" s="23">
        <f t="shared" si="51"/>
        <v>0</v>
      </c>
      <c r="AY36" s="23">
        <f t="shared" si="51"/>
        <v>0</v>
      </c>
      <c r="AZ36" s="23">
        <f t="shared" si="52"/>
        <v>0</v>
      </c>
      <c r="BA36" s="24" t="str">
        <f t="shared" si="53"/>
        <v/>
      </c>
    </row>
    <row r="37" spans="1:53" x14ac:dyDescent="0.3">
      <c r="A37" s="21" t="s">
        <v>112</v>
      </c>
      <c r="B37" s="23">
        <f>363.41</f>
        <v>363.41</v>
      </c>
      <c r="C37" s="23">
        <f>416.67</f>
        <v>416.67</v>
      </c>
      <c r="D37" s="23">
        <f t="shared" si="27"/>
        <v>-53.259999999999991</v>
      </c>
      <c r="E37" s="24">
        <f t="shared" si="28"/>
        <v>0.87217702258381935</v>
      </c>
      <c r="F37" s="23">
        <f>530.89</f>
        <v>530.89</v>
      </c>
      <c r="G37" s="23">
        <f>416.67</f>
        <v>416.67</v>
      </c>
      <c r="H37" s="23">
        <f t="shared" si="29"/>
        <v>114.21999999999997</v>
      </c>
      <c r="I37" s="24">
        <f t="shared" si="30"/>
        <v>1.2741258069935439</v>
      </c>
      <c r="J37" s="23">
        <f>231.95</f>
        <v>231.95</v>
      </c>
      <c r="K37" s="23">
        <f>416.67</f>
        <v>416.67</v>
      </c>
      <c r="L37" s="23">
        <f t="shared" si="31"/>
        <v>-184.72000000000003</v>
      </c>
      <c r="M37" s="24">
        <f t="shared" si="32"/>
        <v>0.55667554659562724</v>
      </c>
      <c r="N37" s="23">
        <f>359.31</f>
        <v>359.31</v>
      </c>
      <c r="O37" s="23">
        <f>416.67</f>
        <v>416.67</v>
      </c>
      <c r="P37" s="23">
        <f t="shared" si="33"/>
        <v>-57.360000000000014</v>
      </c>
      <c r="Q37" s="24">
        <f t="shared" si="34"/>
        <v>0.86233710130318952</v>
      </c>
      <c r="R37" s="23">
        <f>386.17</f>
        <v>386.17</v>
      </c>
      <c r="S37" s="23">
        <f>416.67</f>
        <v>416.67</v>
      </c>
      <c r="T37" s="23">
        <f t="shared" si="35"/>
        <v>-30.5</v>
      </c>
      <c r="U37" s="24">
        <f t="shared" si="36"/>
        <v>0.9268005855953152</v>
      </c>
      <c r="V37" s="23">
        <f>499.9</f>
        <v>499.9</v>
      </c>
      <c r="W37" s="23">
        <f>416.67</f>
        <v>416.67</v>
      </c>
      <c r="X37" s="23">
        <f t="shared" si="37"/>
        <v>83.229999999999961</v>
      </c>
      <c r="Y37" s="24">
        <f t="shared" si="38"/>
        <v>1.199750401996784</v>
      </c>
      <c r="Z37" s="23">
        <f>344.92</f>
        <v>344.92</v>
      </c>
      <c r="AA37" s="23">
        <f>416.67</f>
        <v>416.67</v>
      </c>
      <c r="AB37" s="23">
        <f t="shared" si="39"/>
        <v>-71.75</v>
      </c>
      <c r="AC37" s="24">
        <f t="shared" si="40"/>
        <v>0.82780137758897931</v>
      </c>
      <c r="AD37" s="23">
        <f>352.92</f>
        <v>352.92</v>
      </c>
      <c r="AE37" s="23">
        <f>416.67</f>
        <v>416.67</v>
      </c>
      <c r="AF37" s="23">
        <f t="shared" si="41"/>
        <v>-63.75</v>
      </c>
      <c r="AG37" s="24">
        <f t="shared" si="42"/>
        <v>0.84700122399020805</v>
      </c>
      <c r="AH37" s="23">
        <f>399.65</f>
        <v>399.65</v>
      </c>
      <c r="AI37" s="23">
        <f>416.67</f>
        <v>416.67</v>
      </c>
      <c r="AJ37" s="23">
        <f t="shared" si="43"/>
        <v>-17.020000000000039</v>
      </c>
      <c r="AK37" s="24">
        <f t="shared" si="44"/>
        <v>0.95915232678138562</v>
      </c>
      <c r="AL37" s="23">
        <f>316.93</f>
        <v>316.93</v>
      </c>
      <c r="AM37" s="23">
        <f>416.67</f>
        <v>416.67</v>
      </c>
      <c r="AN37" s="23">
        <f t="shared" si="45"/>
        <v>-99.740000000000009</v>
      </c>
      <c r="AO37" s="24">
        <f t="shared" si="46"/>
        <v>0.76062591499268006</v>
      </c>
      <c r="AP37" s="23">
        <f>209.95</f>
        <v>209.95</v>
      </c>
      <c r="AQ37" s="23">
        <f>416.67</f>
        <v>416.67</v>
      </c>
      <c r="AR37" s="23">
        <f t="shared" si="47"/>
        <v>-206.72000000000003</v>
      </c>
      <c r="AS37" s="24">
        <f t="shared" si="48"/>
        <v>0.50387596899224807</v>
      </c>
      <c r="AT37" s="22"/>
      <c r="AU37" s="23">
        <f>416.63</f>
        <v>416.63</v>
      </c>
      <c r="AV37" s="23">
        <f t="shared" si="49"/>
        <v>-416.63</v>
      </c>
      <c r="AW37" s="24">
        <f t="shared" si="50"/>
        <v>0</v>
      </c>
      <c r="AX37" s="23">
        <f t="shared" si="51"/>
        <v>3996</v>
      </c>
      <c r="AY37" s="23">
        <f t="shared" si="51"/>
        <v>5000</v>
      </c>
      <c r="AZ37" s="23">
        <f t="shared" si="52"/>
        <v>-1004</v>
      </c>
      <c r="BA37" s="24">
        <f t="shared" si="53"/>
        <v>0.79920000000000002</v>
      </c>
    </row>
    <row r="38" spans="1:53" x14ac:dyDescent="0.3">
      <c r="A38" s="21" t="s">
        <v>113</v>
      </c>
      <c r="B38" s="23">
        <f>216.95</f>
        <v>216.95</v>
      </c>
      <c r="C38" s="23">
        <f>125</f>
        <v>125</v>
      </c>
      <c r="D38" s="23">
        <f t="shared" si="27"/>
        <v>91.949999999999989</v>
      </c>
      <c r="E38" s="24">
        <f t="shared" si="28"/>
        <v>1.7355999999999998</v>
      </c>
      <c r="F38" s="22"/>
      <c r="G38" s="23">
        <f>125</f>
        <v>125</v>
      </c>
      <c r="H38" s="23">
        <f t="shared" si="29"/>
        <v>-125</v>
      </c>
      <c r="I38" s="24">
        <f t="shared" si="30"/>
        <v>0</v>
      </c>
      <c r="J38" s="22"/>
      <c r="K38" s="23">
        <f>125</f>
        <v>125</v>
      </c>
      <c r="L38" s="23">
        <f t="shared" si="31"/>
        <v>-125</v>
      </c>
      <c r="M38" s="24">
        <f t="shared" si="32"/>
        <v>0</v>
      </c>
      <c r="N38" s="22"/>
      <c r="O38" s="23">
        <f>125</f>
        <v>125</v>
      </c>
      <c r="P38" s="23">
        <f t="shared" si="33"/>
        <v>-125</v>
      </c>
      <c r="Q38" s="24">
        <f t="shared" si="34"/>
        <v>0</v>
      </c>
      <c r="R38" s="22"/>
      <c r="S38" s="23">
        <f>125</f>
        <v>125</v>
      </c>
      <c r="T38" s="23">
        <f t="shared" si="35"/>
        <v>-125</v>
      </c>
      <c r="U38" s="24">
        <f t="shared" si="36"/>
        <v>0</v>
      </c>
      <c r="V38" s="22"/>
      <c r="W38" s="23">
        <f>125</f>
        <v>125</v>
      </c>
      <c r="X38" s="23">
        <f t="shared" si="37"/>
        <v>-125</v>
      </c>
      <c r="Y38" s="24">
        <f t="shared" si="38"/>
        <v>0</v>
      </c>
      <c r="Z38" s="22"/>
      <c r="AA38" s="23">
        <f>125</f>
        <v>125</v>
      </c>
      <c r="AB38" s="23">
        <f t="shared" si="39"/>
        <v>-125</v>
      </c>
      <c r="AC38" s="24">
        <f t="shared" si="40"/>
        <v>0</v>
      </c>
      <c r="AD38" s="23">
        <f>137.58</f>
        <v>137.58000000000001</v>
      </c>
      <c r="AE38" s="23">
        <f>125</f>
        <v>125</v>
      </c>
      <c r="AF38" s="23">
        <f t="shared" si="41"/>
        <v>12.580000000000013</v>
      </c>
      <c r="AG38" s="24">
        <f t="shared" si="42"/>
        <v>1.1006400000000001</v>
      </c>
      <c r="AH38" s="23">
        <f>467.13</f>
        <v>467.13</v>
      </c>
      <c r="AI38" s="23">
        <f>125</f>
        <v>125</v>
      </c>
      <c r="AJ38" s="23">
        <f t="shared" si="43"/>
        <v>342.13</v>
      </c>
      <c r="AK38" s="24">
        <f t="shared" si="44"/>
        <v>3.7370399999999999</v>
      </c>
      <c r="AL38" s="22"/>
      <c r="AM38" s="23">
        <f>125</f>
        <v>125</v>
      </c>
      <c r="AN38" s="23">
        <f t="shared" si="45"/>
        <v>-125</v>
      </c>
      <c r="AO38" s="24">
        <f t="shared" si="46"/>
        <v>0</v>
      </c>
      <c r="AP38" s="23">
        <f>121.58</f>
        <v>121.58</v>
      </c>
      <c r="AQ38" s="23">
        <f>125</f>
        <v>125</v>
      </c>
      <c r="AR38" s="23">
        <f t="shared" si="47"/>
        <v>-3.4200000000000017</v>
      </c>
      <c r="AS38" s="24">
        <f t="shared" si="48"/>
        <v>0.97263999999999995</v>
      </c>
      <c r="AT38" s="22"/>
      <c r="AU38" s="23">
        <f>125</f>
        <v>125</v>
      </c>
      <c r="AV38" s="23">
        <f t="shared" si="49"/>
        <v>-125</v>
      </c>
      <c r="AW38" s="24">
        <f t="shared" si="50"/>
        <v>0</v>
      </c>
      <c r="AX38" s="23">
        <f t="shared" si="51"/>
        <v>943.24</v>
      </c>
      <c r="AY38" s="23">
        <f t="shared" si="51"/>
        <v>1500</v>
      </c>
      <c r="AZ38" s="23">
        <f t="shared" si="52"/>
        <v>-556.76</v>
      </c>
      <c r="BA38" s="24">
        <f t="shared" si="53"/>
        <v>0.62882666666666664</v>
      </c>
    </row>
    <row r="39" spans="1:53" x14ac:dyDescent="0.3">
      <c r="A39" s="21" t="s">
        <v>114</v>
      </c>
      <c r="B39" s="23">
        <f>293.93</f>
        <v>293.93</v>
      </c>
      <c r="C39" s="23">
        <f>333.33</f>
        <v>333.33</v>
      </c>
      <c r="D39" s="23">
        <f t="shared" si="27"/>
        <v>-39.399999999999977</v>
      </c>
      <c r="E39" s="24">
        <f t="shared" si="28"/>
        <v>0.88179881798817994</v>
      </c>
      <c r="F39" s="23">
        <f>314.88</f>
        <v>314.88</v>
      </c>
      <c r="G39" s="23">
        <f>333.33</f>
        <v>333.33</v>
      </c>
      <c r="H39" s="23">
        <f t="shared" si="29"/>
        <v>-18.449999999999989</v>
      </c>
      <c r="I39" s="24">
        <f t="shared" si="30"/>
        <v>0.94464944649446503</v>
      </c>
      <c r="J39" s="23">
        <f>215.16</f>
        <v>215.16</v>
      </c>
      <c r="K39" s="23">
        <f>333.33</f>
        <v>333.33</v>
      </c>
      <c r="L39" s="23">
        <f t="shared" si="31"/>
        <v>-118.16999999999999</v>
      </c>
      <c r="M39" s="24">
        <f t="shared" si="32"/>
        <v>0.6454864548645487</v>
      </c>
      <c r="N39" s="23">
        <f>290.13</f>
        <v>290.13</v>
      </c>
      <c r="O39" s="23">
        <f>333.33</f>
        <v>333.33</v>
      </c>
      <c r="P39" s="23">
        <f t="shared" si="33"/>
        <v>-43.199999999999989</v>
      </c>
      <c r="Q39" s="24">
        <f t="shared" si="34"/>
        <v>0.87039870398703989</v>
      </c>
      <c r="R39" s="23">
        <f>405.59</f>
        <v>405.59</v>
      </c>
      <c r="S39" s="23">
        <f>333.33</f>
        <v>333.33</v>
      </c>
      <c r="T39" s="23">
        <f t="shared" si="35"/>
        <v>72.259999999999991</v>
      </c>
      <c r="U39" s="24">
        <f t="shared" si="36"/>
        <v>1.2167821678216781</v>
      </c>
      <c r="V39" s="23">
        <f>214.4</f>
        <v>214.4</v>
      </c>
      <c r="W39" s="23">
        <f>333.33</f>
        <v>333.33</v>
      </c>
      <c r="X39" s="23">
        <f t="shared" si="37"/>
        <v>-118.92999999999998</v>
      </c>
      <c r="Y39" s="24">
        <f t="shared" si="38"/>
        <v>0.64320643206432071</v>
      </c>
      <c r="Z39" s="23">
        <f>242.89</f>
        <v>242.89</v>
      </c>
      <c r="AA39" s="23">
        <f>333.33</f>
        <v>333.33</v>
      </c>
      <c r="AB39" s="23">
        <f t="shared" si="39"/>
        <v>-90.44</v>
      </c>
      <c r="AC39" s="24">
        <f t="shared" si="40"/>
        <v>0.72867728677286769</v>
      </c>
      <c r="AD39" s="23">
        <f>329.86</f>
        <v>329.86</v>
      </c>
      <c r="AE39" s="23">
        <f>333.33</f>
        <v>333.33</v>
      </c>
      <c r="AF39" s="23">
        <f t="shared" si="41"/>
        <v>-3.4699999999999704</v>
      </c>
      <c r="AG39" s="24">
        <f t="shared" si="42"/>
        <v>0.98958989589895907</v>
      </c>
      <c r="AH39" s="23">
        <f>595.82</f>
        <v>595.82000000000005</v>
      </c>
      <c r="AI39" s="23">
        <f>333.33</f>
        <v>333.33</v>
      </c>
      <c r="AJ39" s="23">
        <f t="shared" si="43"/>
        <v>262.49000000000007</v>
      </c>
      <c r="AK39" s="24">
        <f t="shared" si="44"/>
        <v>1.7874778747787481</v>
      </c>
      <c r="AL39" s="23">
        <f>222.66</f>
        <v>222.66</v>
      </c>
      <c r="AM39" s="23">
        <f>333.33</f>
        <v>333.33</v>
      </c>
      <c r="AN39" s="23">
        <f t="shared" si="45"/>
        <v>-110.66999999999999</v>
      </c>
      <c r="AO39" s="24">
        <f t="shared" si="46"/>
        <v>0.66798667986679872</v>
      </c>
      <c r="AP39" s="23">
        <f>143.19</f>
        <v>143.19</v>
      </c>
      <c r="AQ39" s="23">
        <f>333.33</f>
        <v>333.33</v>
      </c>
      <c r="AR39" s="23">
        <f t="shared" si="47"/>
        <v>-190.14</v>
      </c>
      <c r="AS39" s="24">
        <f t="shared" si="48"/>
        <v>0.42957429574295747</v>
      </c>
      <c r="AT39" s="22"/>
      <c r="AU39" s="23">
        <f>333.37</f>
        <v>333.37</v>
      </c>
      <c r="AV39" s="23">
        <f t="shared" si="49"/>
        <v>-333.37</v>
      </c>
      <c r="AW39" s="24">
        <f t="shared" si="50"/>
        <v>0</v>
      </c>
      <c r="AX39" s="23">
        <f t="shared" si="51"/>
        <v>3268.51</v>
      </c>
      <c r="AY39" s="23">
        <f t="shared" si="51"/>
        <v>3999.9999999999995</v>
      </c>
      <c r="AZ39" s="23">
        <f t="shared" si="52"/>
        <v>-731.48999999999933</v>
      </c>
      <c r="BA39" s="24">
        <f t="shared" si="53"/>
        <v>0.81712750000000012</v>
      </c>
    </row>
    <row r="40" spans="1:53" x14ac:dyDescent="0.3">
      <c r="A40" s="21" t="s">
        <v>115</v>
      </c>
      <c r="B40" s="23">
        <f>139.43</f>
        <v>139.43</v>
      </c>
      <c r="C40" s="23">
        <f>125</f>
        <v>125</v>
      </c>
      <c r="D40" s="23">
        <f t="shared" si="27"/>
        <v>14.430000000000007</v>
      </c>
      <c r="E40" s="24">
        <f t="shared" si="28"/>
        <v>1.11544</v>
      </c>
      <c r="F40" s="22"/>
      <c r="G40" s="23">
        <f>125</f>
        <v>125</v>
      </c>
      <c r="H40" s="23">
        <f t="shared" si="29"/>
        <v>-125</v>
      </c>
      <c r="I40" s="24">
        <f t="shared" si="30"/>
        <v>0</v>
      </c>
      <c r="J40" s="22"/>
      <c r="K40" s="23">
        <f>125</f>
        <v>125</v>
      </c>
      <c r="L40" s="23">
        <f t="shared" si="31"/>
        <v>-125</v>
      </c>
      <c r="M40" s="24">
        <f t="shared" si="32"/>
        <v>0</v>
      </c>
      <c r="N40" s="23">
        <f>675.69</f>
        <v>675.69</v>
      </c>
      <c r="O40" s="23">
        <f>125</f>
        <v>125</v>
      </c>
      <c r="P40" s="23">
        <f t="shared" si="33"/>
        <v>550.69000000000005</v>
      </c>
      <c r="Q40" s="24">
        <f t="shared" si="34"/>
        <v>5.4055200000000001</v>
      </c>
      <c r="R40" s="23">
        <f>5.24</f>
        <v>5.24</v>
      </c>
      <c r="S40" s="23">
        <f>125</f>
        <v>125</v>
      </c>
      <c r="T40" s="23">
        <f t="shared" si="35"/>
        <v>-119.76</v>
      </c>
      <c r="U40" s="24">
        <f t="shared" si="36"/>
        <v>4.1919999999999999E-2</v>
      </c>
      <c r="V40" s="22"/>
      <c r="W40" s="23">
        <f>125</f>
        <v>125</v>
      </c>
      <c r="X40" s="23">
        <f t="shared" si="37"/>
        <v>-125</v>
      </c>
      <c r="Y40" s="24">
        <f t="shared" si="38"/>
        <v>0</v>
      </c>
      <c r="Z40" s="22"/>
      <c r="AA40" s="23">
        <f>125</f>
        <v>125</v>
      </c>
      <c r="AB40" s="23">
        <f t="shared" si="39"/>
        <v>-125</v>
      </c>
      <c r="AC40" s="24">
        <f t="shared" si="40"/>
        <v>0</v>
      </c>
      <c r="AD40" s="23">
        <f>107.96</f>
        <v>107.96</v>
      </c>
      <c r="AE40" s="23">
        <f>125</f>
        <v>125</v>
      </c>
      <c r="AF40" s="23">
        <f t="shared" si="41"/>
        <v>-17.040000000000006</v>
      </c>
      <c r="AG40" s="24">
        <f t="shared" si="42"/>
        <v>0.86368</v>
      </c>
      <c r="AH40" s="23">
        <f>336.62</f>
        <v>336.62</v>
      </c>
      <c r="AI40" s="23">
        <f>125</f>
        <v>125</v>
      </c>
      <c r="AJ40" s="23">
        <f t="shared" si="43"/>
        <v>211.62</v>
      </c>
      <c r="AK40" s="24">
        <f t="shared" si="44"/>
        <v>2.6929600000000002</v>
      </c>
      <c r="AL40" s="23">
        <f>121.42</f>
        <v>121.42</v>
      </c>
      <c r="AM40" s="23">
        <f>125</f>
        <v>125</v>
      </c>
      <c r="AN40" s="23">
        <f t="shared" si="45"/>
        <v>-3.5799999999999983</v>
      </c>
      <c r="AO40" s="24">
        <f t="shared" si="46"/>
        <v>0.97136</v>
      </c>
      <c r="AP40" s="23">
        <f>26.99</f>
        <v>26.99</v>
      </c>
      <c r="AQ40" s="23">
        <f>125</f>
        <v>125</v>
      </c>
      <c r="AR40" s="23">
        <f t="shared" si="47"/>
        <v>-98.01</v>
      </c>
      <c r="AS40" s="24">
        <f t="shared" si="48"/>
        <v>0.21592</v>
      </c>
      <c r="AT40" s="22"/>
      <c r="AU40" s="23">
        <f>125</f>
        <v>125</v>
      </c>
      <c r="AV40" s="23">
        <f t="shared" si="49"/>
        <v>-125</v>
      </c>
      <c r="AW40" s="24">
        <f t="shared" si="50"/>
        <v>0</v>
      </c>
      <c r="AX40" s="23">
        <f t="shared" si="51"/>
        <v>1413.3500000000001</v>
      </c>
      <c r="AY40" s="23">
        <f t="shared" si="51"/>
        <v>1500</v>
      </c>
      <c r="AZ40" s="23">
        <f t="shared" si="52"/>
        <v>-86.649999999999864</v>
      </c>
      <c r="BA40" s="24">
        <f t="shared" si="53"/>
        <v>0.94223333333333348</v>
      </c>
    </row>
    <row r="41" spans="1:53" x14ac:dyDescent="0.3">
      <c r="A41" s="21" t="s">
        <v>116</v>
      </c>
      <c r="B41" s="25">
        <f>((((B36)+(B37))+(B38))+(B39))+(B40)</f>
        <v>1013.72</v>
      </c>
      <c r="C41" s="25">
        <f>((((C36)+(C37))+(C38))+(C39))+(C40)</f>
        <v>1000</v>
      </c>
      <c r="D41" s="25">
        <f t="shared" si="27"/>
        <v>13.720000000000027</v>
      </c>
      <c r="E41" s="26">
        <f t="shared" si="28"/>
        <v>1.01372</v>
      </c>
      <c r="F41" s="25">
        <f>((((F36)+(F37))+(F38))+(F39))+(F40)</f>
        <v>845.77</v>
      </c>
      <c r="G41" s="25">
        <f>((((G36)+(G37))+(G38))+(G39))+(G40)</f>
        <v>1000</v>
      </c>
      <c r="H41" s="25">
        <f t="shared" si="29"/>
        <v>-154.23000000000002</v>
      </c>
      <c r="I41" s="26">
        <f t="shared" si="30"/>
        <v>0.84577000000000002</v>
      </c>
      <c r="J41" s="25">
        <f>((((J36)+(J37))+(J38))+(J39))+(J40)</f>
        <v>447.11</v>
      </c>
      <c r="K41" s="25">
        <f>((((K36)+(K37))+(K38))+(K39))+(K40)</f>
        <v>1000</v>
      </c>
      <c r="L41" s="25">
        <f t="shared" si="31"/>
        <v>-552.89</v>
      </c>
      <c r="M41" s="26">
        <f t="shared" si="32"/>
        <v>0.44711000000000001</v>
      </c>
      <c r="N41" s="25">
        <f>((((N36)+(N37))+(N38))+(N39))+(N40)</f>
        <v>1325.13</v>
      </c>
      <c r="O41" s="25">
        <f>((((O36)+(O37))+(O38))+(O39))+(O40)</f>
        <v>1000</v>
      </c>
      <c r="P41" s="25">
        <f t="shared" si="33"/>
        <v>325.13000000000011</v>
      </c>
      <c r="Q41" s="26">
        <f t="shared" si="34"/>
        <v>1.3251300000000001</v>
      </c>
      <c r="R41" s="25">
        <f>((((R36)+(R37))+(R38))+(R39))+(R40)</f>
        <v>797</v>
      </c>
      <c r="S41" s="25">
        <f>((((S36)+(S37))+(S38))+(S39))+(S40)</f>
        <v>1000</v>
      </c>
      <c r="T41" s="25">
        <f t="shared" si="35"/>
        <v>-203</v>
      </c>
      <c r="U41" s="26">
        <f t="shared" si="36"/>
        <v>0.79700000000000004</v>
      </c>
      <c r="V41" s="25">
        <f>((((V36)+(V37))+(V38))+(V39))+(V40)</f>
        <v>714.3</v>
      </c>
      <c r="W41" s="25">
        <f>((((W36)+(W37))+(W38))+(W39))+(W40)</f>
        <v>1000</v>
      </c>
      <c r="X41" s="25">
        <f t="shared" si="37"/>
        <v>-285.70000000000005</v>
      </c>
      <c r="Y41" s="26">
        <f t="shared" si="38"/>
        <v>0.71429999999999993</v>
      </c>
      <c r="Z41" s="25">
        <f>((((Z36)+(Z37))+(Z38))+(Z39))+(Z40)</f>
        <v>587.80999999999995</v>
      </c>
      <c r="AA41" s="25">
        <f>((((AA36)+(AA37))+(AA38))+(AA39))+(AA40)</f>
        <v>1000</v>
      </c>
      <c r="AB41" s="25">
        <f t="shared" si="39"/>
        <v>-412.19000000000005</v>
      </c>
      <c r="AC41" s="26">
        <f t="shared" si="40"/>
        <v>0.58780999999999994</v>
      </c>
      <c r="AD41" s="25">
        <f>((((AD36)+(AD37))+(AD38))+(AD39))+(AD40)</f>
        <v>928.32</v>
      </c>
      <c r="AE41" s="25">
        <f>((((AE36)+(AE37))+(AE38))+(AE39))+(AE40)</f>
        <v>1000</v>
      </c>
      <c r="AF41" s="25">
        <f t="shared" si="41"/>
        <v>-71.67999999999995</v>
      </c>
      <c r="AG41" s="26">
        <f t="shared" si="42"/>
        <v>0.92832000000000003</v>
      </c>
      <c r="AH41" s="25">
        <f>((((AH36)+(AH37))+(AH38))+(AH39))+(AH40)</f>
        <v>1799.2199999999998</v>
      </c>
      <c r="AI41" s="25">
        <f>((((AI36)+(AI37))+(AI38))+(AI39))+(AI40)</f>
        <v>1000</v>
      </c>
      <c r="AJ41" s="25">
        <f t="shared" si="43"/>
        <v>799.2199999999998</v>
      </c>
      <c r="AK41" s="26">
        <f t="shared" si="44"/>
        <v>1.7992199999999998</v>
      </c>
      <c r="AL41" s="25">
        <f>((((AL36)+(AL37))+(AL38))+(AL39))+(AL40)</f>
        <v>661.01</v>
      </c>
      <c r="AM41" s="25">
        <f>((((AM36)+(AM37))+(AM38))+(AM39))+(AM40)</f>
        <v>1000</v>
      </c>
      <c r="AN41" s="25">
        <f t="shared" si="45"/>
        <v>-338.99</v>
      </c>
      <c r="AO41" s="26">
        <f t="shared" si="46"/>
        <v>0.66100999999999999</v>
      </c>
      <c r="AP41" s="25">
        <f>((((AP36)+(AP37))+(AP38))+(AP39))+(AP40)</f>
        <v>501.71</v>
      </c>
      <c r="AQ41" s="25">
        <f>((((AQ36)+(AQ37))+(AQ38))+(AQ39))+(AQ40)</f>
        <v>1000</v>
      </c>
      <c r="AR41" s="25">
        <f t="shared" si="47"/>
        <v>-498.29</v>
      </c>
      <c r="AS41" s="26">
        <f t="shared" si="48"/>
        <v>0.50170999999999999</v>
      </c>
      <c r="AT41" s="25">
        <f>((((AT36)+(AT37))+(AT38))+(AT39))+(AT40)</f>
        <v>0</v>
      </c>
      <c r="AU41" s="25">
        <f>((((AU36)+(AU37))+(AU38))+(AU39))+(AU40)</f>
        <v>1000</v>
      </c>
      <c r="AV41" s="25">
        <f t="shared" si="49"/>
        <v>-1000</v>
      </c>
      <c r="AW41" s="26">
        <f t="shared" si="50"/>
        <v>0</v>
      </c>
      <c r="AX41" s="25">
        <f t="shared" si="51"/>
        <v>9621.0999999999985</v>
      </c>
      <c r="AY41" s="25">
        <f t="shared" si="51"/>
        <v>12000</v>
      </c>
      <c r="AZ41" s="25">
        <f t="shared" si="52"/>
        <v>-2378.9000000000015</v>
      </c>
      <c r="BA41" s="26">
        <f t="shared" si="53"/>
        <v>0.80175833333333324</v>
      </c>
    </row>
    <row r="42" spans="1:53" x14ac:dyDescent="0.3">
      <c r="A42" s="21" t="s">
        <v>117</v>
      </c>
      <c r="B42" s="22"/>
      <c r="C42" s="22"/>
      <c r="D42" s="23">
        <f t="shared" si="27"/>
        <v>0</v>
      </c>
      <c r="E42" s="24" t="str">
        <f t="shared" si="28"/>
        <v/>
      </c>
      <c r="F42" s="22"/>
      <c r="G42" s="22"/>
      <c r="H42" s="23">
        <f t="shared" si="29"/>
        <v>0</v>
      </c>
      <c r="I42" s="24" t="str">
        <f t="shared" si="30"/>
        <v/>
      </c>
      <c r="J42" s="22"/>
      <c r="K42" s="22"/>
      <c r="L42" s="23">
        <f t="shared" si="31"/>
        <v>0</v>
      </c>
      <c r="M42" s="24" t="str">
        <f t="shared" si="32"/>
        <v/>
      </c>
      <c r="N42" s="22"/>
      <c r="O42" s="22"/>
      <c r="P42" s="23">
        <f t="shared" si="33"/>
        <v>0</v>
      </c>
      <c r="Q42" s="24" t="str">
        <f t="shared" si="34"/>
        <v/>
      </c>
      <c r="R42" s="22"/>
      <c r="S42" s="22"/>
      <c r="T42" s="23">
        <f t="shared" si="35"/>
        <v>0</v>
      </c>
      <c r="U42" s="24" t="str">
        <f t="shared" si="36"/>
        <v/>
      </c>
      <c r="V42" s="22"/>
      <c r="W42" s="22"/>
      <c r="X42" s="23">
        <f t="shared" si="37"/>
        <v>0</v>
      </c>
      <c r="Y42" s="24" t="str">
        <f t="shared" si="38"/>
        <v/>
      </c>
      <c r="Z42" s="22"/>
      <c r="AA42" s="22"/>
      <c r="AB42" s="23">
        <f t="shared" si="39"/>
        <v>0</v>
      </c>
      <c r="AC42" s="24" t="str">
        <f t="shared" si="40"/>
        <v/>
      </c>
      <c r="AD42" s="22"/>
      <c r="AE42" s="22"/>
      <c r="AF42" s="23">
        <f t="shared" si="41"/>
        <v>0</v>
      </c>
      <c r="AG42" s="24" t="str">
        <f t="shared" si="42"/>
        <v/>
      </c>
      <c r="AH42" s="22"/>
      <c r="AI42" s="22"/>
      <c r="AJ42" s="23">
        <f t="shared" si="43"/>
        <v>0</v>
      </c>
      <c r="AK42" s="24" t="str">
        <f t="shared" si="44"/>
        <v/>
      </c>
      <c r="AL42" s="22"/>
      <c r="AM42" s="22"/>
      <c r="AN42" s="23">
        <f t="shared" si="45"/>
        <v>0</v>
      </c>
      <c r="AO42" s="24" t="str">
        <f t="shared" si="46"/>
        <v/>
      </c>
      <c r="AP42" s="22"/>
      <c r="AQ42" s="22"/>
      <c r="AR42" s="23">
        <f t="shared" si="47"/>
        <v>0</v>
      </c>
      <c r="AS42" s="24" t="str">
        <f t="shared" si="48"/>
        <v/>
      </c>
      <c r="AT42" s="22"/>
      <c r="AU42" s="22"/>
      <c r="AV42" s="23">
        <f t="shared" si="49"/>
        <v>0</v>
      </c>
      <c r="AW42" s="24" t="str">
        <f t="shared" si="50"/>
        <v/>
      </c>
      <c r="AX42" s="23">
        <f t="shared" si="51"/>
        <v>0</v>
      </c>
      <c r="AY42" s="23">
        <f t="shared" si="51"/>
        <v>0</v>
      </c>
      <c r="AZ42" s="23">
        <f t="shared" si="52"/>
        <v>0</v>
      </c>
      <c r="BA42" s="24" t="str">
        <f t="shared" si="53"/>
        <v/>
      </c>
    </row>
    <row r="43" spans="1:53" x14ac:dyDescent="0.3">
      <c r="A43" s="21" t="s">
        <v>118</v>
      </c>
      <c r="B43" s="23">
        <f>5500</f>
        <v>5500</v>
      </c>
      <c r="C43" s="23">
        <f>500</f>
        <v>500</v>
      </c>
      <c r="D43" s="23">
        <f t="shared" si="27"/>
        <v>5000</v>
      </c>
      <c r="E43" s="24">
        <f t="shared" si="28"/>
        <v>11</v>
      </c>
      <c r="F43" s="22"/>
      <c r="G43" s="23">
        <f>500</f>
        <v>500</v>
      </c>
      <c r="H43" s="23">
        <f t="shared" si="29"/>
        <v>-500</v>
      </c>
      <c r="I43" s="24">
        <f t="shared" si="30"/>
        <v>0</v>
      </c>
      <c r="J43" s="22"/>
      <c r="K43" s="23">
        <f>500</f>
        <v>500</v>
      </c>
      <c r="L43" s="23">
        <f t="shared" si="31"/>
        <v>-500</v>
      </c>
      <c r="M43" s="24">
        <f t="shared" si="32"/>
        <v>0</v>
      </c>
      <c r="N43" s="22"/>
      <c r="O43" s="23">
        <f>500</f>
        <v>500</v>
      </c>
      <c r="P43" s="23">
        <f t="shared" si="33"/>
        <v>-500</v>
      </c>
      <c r="Q43" s="24">
        <f t="shared" si="34"/>
        <v>0</v>
      </c>
      <c r="R43" s="22"/>
      <c r="S43" s="23">
        <f>500</f>
        <v>500</v>
      </c>
      <c r="T43" s="23">
        <f t="shared" si="35"/>
        <v>-500</v>
      </c>
      <c r="U43" s="24">
        <f t="shared" si="36"/>
        <v>0</v>
      </c>
      <c r="V43" s="22"/>
      <c r="W43" s="23">
        <f>500</f>
        <v>500</v>
      </c>
      <c r="X43" s="23">
        <f t="shared" si="37"/>
        <v>-500</v>
      </c>
      <c r="Y43" s="24">
        <f t="shared" si="38"/>
        <v>0</v>
      </c>
      <c r="Z43" s="22"/>
      <c r="AA43" s="23">
        <f>500</f>
        <v>500</v>
      </c>
      <c r="AB43" s="23">
        <f t="shared" si="39"/>
        <v>-500</v>
      </c>
      <c r="AC43" s="24">
        <f t="shared" si="40"/>
        <v>0</v>
      </c>
      <c r="AD43" s="22"/>
      <c r="AE43" s="23">
        <f>500</f>
        <v>500</v>
      </c>
      <c r="AF43" s="23">
        <f t="shared" si="41"/>
        <v>-500</v>
      </c>
      <c r="AG43" s="24">
        <f t="shared" si="42"/>
        <v>0</v>
      </c>
      <c r="AH43" s="22"/>
      <c r="AI43" s="23">
        <f>500</f>
        <v>500</v>
      </c>
      <c r="AJ43" s="23">
        <f t="shared" si="43"/>
        <v>-500</v>
      </c>
      <c r="AK43" s="24">
        <f t="shared" si="44"/>
        <v>0</v>
      </c>
      <c r="AL43" s="22"/>
      <c r="AM43" s="23">
        <f>500</f>
        <v>500</v>
      </c>
      <c r="AN43" s="23">
        <f t="shared" si="45"/>
        <v>-500</v>
      </c>
      <c r="AO43" s="24">
        <f t="shared" si="46"/>
        <v>0</v>
      </c>
      <c r="AP43" s="22"/>
      <c r="AQ43" s="23">
        <f>500</f>
        <v>500</v>
      </c>
      <c r="AR43" s="23">
        <f t="shared" si="47"/>
        <v>-500</v>
      </c>
      <c r="AS43" s="24">
        <f t="shared" si="48"/>
        <v>0</v>
      </c>
      <c r="AT43" s="22"/>
      <c r="AU43" s="23">
        <f>500</f>
        <v>500</v>
      </c>
      <c r="AV43" s="23">
        <f t="shared" si="49"/>
        <v>-500</v>
      </c>
      <c r="AW43" s="24">
        <f t="shared" si="50"/>
        <v>0</v>
      </c>
      <c r="AX43" s="23">
        <f t="shared" si="51"/>
        <v>5500</v>
      </c>
      <c r="AY43" s="23">
        <f t="shared" si="51"/>
        <v>6000</v>
      </c>
      <c r="AZ43" s="23">
        <f t="shared" si="52"/>
        <v>-500</v>
      </c>
      <c r="BA43" s="24">
        <f t="shared" si="53"/>
        <v>0.91666666666666663</v>
      </c>
    </row>
    <row r="44" spans="1:53" x14ac:dyDescent="0.3">
      <c r="A44" s="21" t="s">
        <v>119</v>
      </c>
      <c r="B44" s="25">
        <f>(B42)+(B43)</f>
        <v>5500</v>
      </c>
      <c r="C44" s="25">
        <f>(C42)+(C43)</f>
        <v>500</v>
      </c>
      <c r="D44" s="25">
        <f t="shared" si="27"/>
        <v>5000</v>
      </c>
      <c r="E44" s="26">
        <f t="shared" si="28"/>
        <v>11</v>
      </c>
      <c r="F44" s="25">
        <f>(F42)+(F43)</f>
        <v>0</v>
      </c>
      <c r="G44" s="25">
        <f>(G42)+(G43)</f>
        <v>500</v>
      </c>
      <c r="H44" s="25">
        <f t="shared" si="29"/>
        <v>-500</v>
      </c>
      <c r="I44" s="26">
        <f t="shared" si="30"/>
        <v>0</v>
      </c>
      <c r="J44" s="25">
        <f>(J42)+(J43)</f>
        <v>0</v>
      </c>
      <c r="K44" s="25">
        <f>(K42)+(K43)</f>
        <v>500</v>
      </c>
      <c r="L44" s="25">
        <f t="shared" si="31"/>
        <v>-500</v>
      </c>
      <c r="M44" s="26">
        <f t="shared" si="32"/>
        <v>0</v>
      </c>
      <c r="N44" s="25">
        <f>(N42)+(N43)</f>
        <v>0</v>
      </c>
      <c r="O44" s="25">
        <f>(O42)+(O43)</f>
        <v>500</v>
      </c>
      <c r="P44" s="25">
        <f t="shared" si="33"/>
        <v>-500</v>
      </c>
      <c r="Q44" s="26">
        <f t="shared" si="34"/>
        <v>0</v>
      </c>
      <c r="R44" s="25">
        <f>(R42)+(R43)</f>
        <v>0</v>
      </c>
      <c r="S44" s="25">
        <f>(S42)+(S43)</f>
        <v>500</v>
      </c>
      <c r="T44" s="25">
        <f t="shared" si="35"/>
        <v>-500</v>
      </c>
      <c r="U44" s="26">
        <f t="shared" si="36"/>
        <v>0</v>
      </c>
      <c r="V44" s="25">
        <f>(V42)+(V43)</f>
        <v>0</v>
      </c>
      <c r="W44" s="25">
        <f>(W42)+(W43)</f>
        <v>500</v>
      </c>
      <c r="X44" s="25">
        <f t="shared" si="37"/>
        <v>-500</v>
      </c>
      <c r="Y44" s="26">
        <f t="shared" si="38"/>
        <v>0</v>
      </c>
      <c r="Z44" s="25">
        <f>(Z42)+(Z43)</f>
        <v>0</v>
      </c>
      <c r="AA44" s="25">
        <f>(AA42)+(AA43)</f>
        <v>500</v>
      </c>
      <c r="AB44" s="25">
        <f t="shared" si="39"/>
        <v>-500</v>
      </c>
      <c r="AC44" s="26">
        <f t="shared" si="40"/>
        <v>0</v>
      </c>
      <c r="AD44" s="25">
        <f>(AD42)+(AD43)</f>
        <v>0</v>
      </c>
      <c r="AE44" s="25">
        <f>(AE42)+(AE43)</f>
        <v>500</v>
      </c>
      <c r="AF44" s="25">
        <f t="shared" si="41"/>
        <v>-500</v>
      </c>
      <c r="AG44" s="26">
        <f t="shared" si="42"/>
        <v>0</v>
      </c>
      <c r="AH44" s="25">
        <f>(AH42)+(AH43)</f>
        <v>0</v>
      </c>
      <c r="AI44" s="25">
        <f>(AI42)+(AI43)</f>
        <v>500</v>
      </c>
      <c r="AJ44" s="25">
        <f t="shared" si="43"/>
        <v>-500</v>
      </c>
      <c r="AK44" s="26">
        <f t="shared" si="44"/>
        <v>0</v>
      </c>
      <c r="AL44" s="25">
        <f>(AL42)+(AL43)</f>
        <v>0</v>
      </c>
      <c r="AM44" s="25">
        <f>(AM42)+(AM43)</f>
        <v>500</v>
      </c>
      <c r="AN44" s="25">
        <f t="shared" si="45"/>
        <v>-500</v>
      </c>
      <c r="AO44" s="26">
        <f t="shared" si="46"/>
        <v>0</v>
      </c>
      <c r="AP44" s="25">
        <f>(AP42)+(AP43)</f>
        <v>0</v>
      </c>
      <c r="AQ44" s="25">
        <f>(AQ42)+(AQ43)</f>
        <v>500</v>
      </c>
      <c r="AR44" s="25">
        <f t="shared" si="47"/>
        <v>-500</v>
      </c>
      <c r="AS44" s="26">
        <f t="shared" si="48"/>
        <v>0</v>
      </c>
      <c r="AT44" s="25">
        <f>(AT42)+(AT43)</f>
        <v>0</v>
      </c>
      <c r="AU44" s="25">
        <f>(AU42)+(AU43)</f>
        <v>500</v>
      </c>
      <c r="AV44" s="25">
        <f t="shared" si="49"/>
        <v>-500</v>
      </c>
      <c r="AW44" s="26">
        <f t="shared" si="50"/>
        <v>0</v>
      </c>
      <c r="AX44" s="25">
        <f t="shared" si="51"/>
        <v>5500</v>
      </c>
      <c r="AY44" s="25">
        <f t="shared" si="51"/>
        <v>6000</v>
      </c>
      <c r="AZ44" s="25">
        <f t="shared" si="52"/>
        <v>-500</v>
      </c>
      <c r="BA44" s="26">
        <f t="shared" si="53"/>
        <v>0.91666666666666663</v>
      </c>
    </row>
    <row r="45" spans="1:53" x14ac:dyDescent="0.3">
      <c r="A45" s="21" t="s">
        <v>120</v>
      </c>
      <c r="B45" s="22"/>
      <c r="C45" s="23">
        <f>1250</f>
        <v>1250</v>
      </c>
      <c r="D45" s="23">
        <f t="shared" si="27"/>
        <v>-1250</v>
      </c>
      <c r="E45" s="24">
        <f t="shared" si="28"/>
        <v>0</v>
      </c>
      <c r="F45" s="22"/>
      <c r="G45" s="23">
        <f>1250</f>
        <v>1250</v>
      </c>
      <c r="H45" s="23">
        <f t="shared" si="29"/>
        <v>-1250</v>
      </c>
      <c r="I45" s="24">
        <f t="shared" si="30"/>
        <v>0</v>
      </c>
      <c r="J45" s="23">
        <f>517.5</f>
        <v>517.5</v>
      </c>
      <c r="K45" s="23">
        <f>1250</f>
        <v>1250</v>
      </c>
      <c r="L45" s="23">
        <f t="shared" si="31"/>
        <v>-732.5</v>
      </c>
      <c r="M45" s="24">
        <f t="shared" si="32"/>
        <v>0.41399999999999998</v>
      </c>
      <c r="N45" s="23">
        <f>1835.76</f>
        <v>1835.76</v>
      </c>
      <c r="O45" s="23">
        <f>1250</f>
        <v>1250</v>
      </c>
      <c r="P45" s="23">
        <f t="shared" si="33"/>
        <v>585.76</v>
      </c>
      <c r="Q45" s="24">
        <f t="shared" si="34"/>
        <v>1.4686079999999999</v>
      </c>
      <c r="R45" s="23">
        <f>2840</f>
        <v>2840</v>
      </c>
      <c r="S45" s="23">
        <f>1250</f>
        <v>1250</v>
      </c>
      <c r="T45" s="23">
        <f t="shared" si="35"/>
        <v>1590</v>
      </c>
      <c r="U45" s="24">
        <f t="shared" si="36"/>
        <v>2.2719999999999998</v>
      </c>
      <c r="V45" s="22"/>
      <c r="W45" s="23">
        <f>1250</f>
        <v>1250</v>
      </c>
      <c r="X45" s="23">
        <f t="shared" si="37"/>
        <v>-1250</v>
      </c>
      <c r="Y45" s="24">
        <f t="shared" si="38"/>
        <v>0</v>
      </c>
      <c r="Z45" s="22"/>
      <c r="AA45" s="23">
        <f>1250</f>
        <v>1250</v>
      </c>
      <c r="AB45" s="23">
        <f t="shared" si="39"/>
        <v>-1250</v>
      </c>
      <c r="AC45" s="24">
        <f t="shared" si="40"/>
        <v>0</v>
      </c>
      <c r="AD45" s="22"/>
      <c r="AE45" s="23">
        <f>1250</f>
        <v>1250</v>
      </c>
      <c r="AF45" s="23">
        <f t="shared" si="41"/>
        <v>-1250</v>
      </c>
      <c r="AG45" s="24">
        <f t="shared" si="42"/>
        <v>0</v>
      </c>
      <c r="AH45" s="22"/>
      <c r="AI45" s="23">
        <f>1250</f>
        <v>1250</v>
      </c>
      <c r="AJ45" s="23">
        <f t="shared" si="43"/>
        <v>-1250</v>
      </c>
      <c r="AK45" s="24">
        <f t="shared" si="44"/>
        <v>0</v>
      </c>
      <c r="AL45" s="22"/>
      <c r="AM45" s="23">
        <f>1250</f>
        <v>1250</v>
      </c>
      <c r="AN45" s="23">
        <f t="shared" si="45"/>
        <v>-1250</v>
      </c>
      <c r="AO45" s="24">
        <f t="shared" si="46"/>
        <v>0</v>
      </c>
      <c r="AP45" s="23">
        <f>653</f>
        <v>653</v>
      </c>
      <c r="AQ45" s="23">
        <f>1250</f>
        <v>1250</v>
      </c>
      <c r="AR45" s="23">
        <f t="shared" si="47"/>
        <v>-597</v>
      </c>
      <c r="AS45" s="24">
        <f t="shared" si="48"/>
        <v>0.52239999999999998</v>
      </c>
      <c r="AT45" s="22"/>
      <c r="AU45" s="23">
        <f>1250</f>
        <v>1250</v>
      </c>
      <c r="AV45" s="23">
        <f t="shared" si="49"/>
        <v>-1250</v>
      </c>
      <c r="AW45" s="24">
        <f t="shared" si="50"/>
        <v>0</v>
      </c>
      <c r="AX45" s="23">
        <f t="shared" si="51"/>
        <v>5846.26</v>
      </c>
      <c r="AY45" s="23">
        <f t="shared" si="51"/>
        <v>15000</v>
      </c>
      <c r="AZ45" s="23">
        <f t="shared" si="52"/>
        <v>-9153.74</v>
      </c>
      <c r="BA45" s="24">
        <f t="shared" si="53"/>
        <v>0.38975066666666669</v>
      </c>
    </row>
    <row r="46" spans="1:53" x14ac:dyDescent="0.3">
      <c r="A46" s="21" t="s">
        <v>121</v>
      </c>
      <c r="B46" s="22"/>
      <c r="C46" s="22"/>
      <c r="D46" s="23">
        <f t="shared" si="27"/>
        <v>0</v>
      </c>
      <c r="E46" s="24" t="str">
        <f t="shared" si="28"/>
        <v/>
      </c>
      <c r="F46" s="22"/>
      <c r="G46" s="22"/>
      <c r="H46" s="23">
        <f t="shared" si="29"/>
        <v>0</v>
      </c>
      <c r="I46" s="24" t="str">
        <f t="shared" si="30"/>
        <v/>
      </c>
      <c r="J46" s="22"/>
      <c r="K46" s="22"/>
      <c r="L46" s="23">
        <f t="shared" si="31"/>
        <v>0</v>
      </c>
      <c r="M46" s="24" t="str">
        <f t="shared" si="32"/>
        <v/>
      </c>
      <c r="N46" s="22"/>
      <c r="O46" s="22"/>
      <c r="P46" s="23">
        <f t="shared" si="33"/>
        <v>0</v>
      </c>
      <c r="Q46" s="24" t="str">
        <f t="shared" si="34"/>
        <v/>
      </c>
      <c r="R46" s="22"/>
      <c r="S46" s="22"/>
      <c r="T46" s="23">
        <f t="shared" si="35"/>
        <v>0</v>
      </c>
      <c r="U46" s="24" t="str">
        <f t="shared" si="36"/>
        <v/>
      </c>
      <c r="V46" s="22"/>
      <c r="W46" s="22"/>
      <c r="X46" s="23">
        <f t="shared" si="37"/>
        <v>0</v>
      </c>
      <c r="Y46" s="24" t="str">
        <f t="shared" si="38"/>
        <v/>
      </c>
      <c r="Z46" s="22"/>
      <c r="AA46" s="22"/>
      <c r="AB46" s="23">
        <f t="shared" si="39"/>
        <v>0</v>
      </c>
      <c r="AC46" s="24" t="str">
        <f t="shared" si="40"/>
        <v/>
      </c>
      <c r="AD46" s="22"/>
      <c r="AE46" s="22"/>
      <c r="AF46" s="23">
        <f t="shared" si="41"/>
        <v>0</v>
      </c>
      <c r="AG46" s="24" t="str">
        <f t="shared" si="42"/>
        <v/>
      </c>
      <c r="AH46" s="22"/>
      <c r="AI46" s="22"/>
      <c r="AJ46" s="23">
        <f t="shared" si="43"/>
        <v>0</v>
      </c>
      <c r="AK46" s="24" t="str">
        <f t="shared" si="44"/>
        <v/>
      </c>
      <c r="AL46" s="22"/>
      <c r="AM46" s="22"/>
      <c r="AN46" s="23">
        <f t="shared" si="45"/>
        <v>0</v>
      </c>
      <c r="AO46" s="24" t="str">
        <f t="shared" si="46"/>
        <v/>
      </c>
      <c r="AP46" s="22"/>
      <c r="AQ46" s="22"/>
      <c r="AR46" s="23">
        <f t="shared" si="47"/>
        <v>0</v>
      </c>
      <c r="AS46" s="24" t="str">
        <f t="shared" si="48"/>
        <v/>
      </c>
      <c r="AT46" s="22"/>
      <c r="AU46" s="22"/>
      <c r="AV46" s="23">
        <f t="shared" si="49"/>
        <v>0</v>
      </c>
      <c r="AW46" s="24" t="str">
        <f t="shared" si="50"/>
        <v/>
      </c>
      <c r="AX46" s="23">
        <f t="shared" si="51"/>
        <v>0</v>
      </c>
      <c r="AY46" s="23">
        <f t="shared" si="51"/>
        <v>0</v>
      </c>
      <c r="AZ46" s="23">
        <f t="shared" si="52"/>
        <v>0</v>
      </c>
      <c r="BA46" s="24" t="str">
        <f t="shared" si="53"/>
        <v/>
      </c>
    </row>
    <row r="47" spans="1:53" x14ac:dyDescent="0.3">
      <c r="A47" s="21" t="s">
        <v>122</v>
      </c>
      <c r="B47" s="23">
        <f>50.34</f>
        <v>50.34</v>
      </c>
      <c r="C47" s="23">
        <f>1083.33</f>
        <v>1083.33</v>
      </c>
      <c r="D47" s="23">
        <f t="shared" si="27"/>
        <v>-1032.99</v>
      </c>
      <c r="E47" s="24">
        <f t="shared" si="28"/>
        <v>4.646783528564704E-2</v>
      </c>
      <c r="F47" s="23">
        <f>686.08</f>
        <v>686.08</v>
      </c>
      <c r="G47" s="23">
        <f>1083.33</f>
        <v>1083.33</v>
      </c>
      <c r="H47" s="23">
        <f t="shared" si="29"/>
        <v>-397.24999999999989</v>
      </c>
      <c r="I47" s="24">
        <f t="shared" si="30"/>
        <v>0.63330656402019703</v>
      </c>
      <c r="J47" s="23">
        <f>993.01</f>
        <v>993.01</v>
      </c>
      <c r="K47" s="23">
        <f>1083.33</f>
        <v>1083.33</v>
      </c>
      <c r="L47" s="23">
        <f t="shared" si="31"/>
        <v>-90.319999999999936</v>
      </c>
      <c r="M47" s="24">
        <f t="shared" si="32"/>
        <v>0.91662743577672556</v>
      </c>
      <c r="N47" s="23">
        <f>1299.19</f>
        <v>1299.19</v>
      </c>
      <c r="O47" s="23">
        <f>1083.33</f>
        <v>1083.33</v>
      </c>
      <c r="P47" s="23">
        <f t="shared" si="33"/>
        <v>215.86000000000013</v>
      </c>
      <c r="Q47" s="24">
        <f t="shared" si="34"/>
        <v>1.1992559977107624</v>
      </c>
      <c r="R47" s="23">
        <f>1490.51</f>
        <v>1490.51</v>
      </c>
      <c r="S47" s="23">
        <f>1083.33</f>
        <v>1083.33</v>
      </c>
      <c r="T47" s="23">
        <f t="shared" si="35"/>
        <v>407.18000000000006</v>
      </c>
      <c r="U47" s="24">
        <f t="shared" si="36"/>
        <v>1.3758596180295941</v>
      </c>
      <c r="V47" s="23">
        <f>1140.95</f>
        <v>1140.95</v>
      </c>
      <c r="W47" s="23">
        <f>1083.33</f>
        <v>1083.33</v>
      </c>
      <c r="X47" s="23">
        <f t="shared" si="37"/>
        <v>57.620000000000118</v>
      </c>
      <c r="Y47" s="24">
        <f t="shared" si="38"/>
        <v>1.0531878559626338</v>
      </c>
      <c r="Z47" s="23">
        <f>1199.34</f>
        <v>1199.3399999999999</v>
      </c>
      <c r="AA47" s="23">
        <f>1083.33</f>
        <v>1083.33</v>
      </c>
      <c r="AB47" s="23">
        <f t="shared" si="39"/>
        <v>116.00999999999999</v>
      </c>
      <c r="AC47" s="24">
        <f t="shared" si="40"/>
        <v>1.1070864833430256</v>
      </c>
      <c r="AD47" s="23">
        <f>962.08</f>
        <v>962.08</v>
      </c>
      <c r="AE47" s="23">
        <f>1083.33</f>
        <v>1083.33</v>
      </c>
      <c r="AF47" s="23">
        <f t="shared" si="41"/>
        <v>-121.24999999999989</v>
      </c>
      <c r="AG47" s="24">
        <f t="shared" si="42"/>
        <v>0.88807657869716528</v>
      </c>
      <c r="AH47" s="23">
        <f>1535.97</f>
        <v>1535.97</v>
      </c>
      <c r="AI47" s="23">
        <f>1083.33</f>
        <v>1083.33</v>
      </c>
      <c r="AJ47" s="23">
        <f t="shared" si="43"/>
        <v>452.6400000000001</v>
      </c>
      <c r="AK47" s="24">
        <f t="shared" si="44"/>
        <v>1.417822824070228</v>
      </c>
      <c r="AL47" s="23">
        <f>1329.79</f>
        <v>1329.79</v>
      </c>
      <c r="AM47" s="23">
        <f>1083.33</f>
        <v>1083.33</v>
      </c>
      <c r="AN47" s="23">
        <f t="shared" si="45"/>
        <v>246.46000000000004</v>
      </c>
      <c r="AO47" s="24">
        <f t="shared" si="46"/>
        <v>1.2275022384684262</v>
      </c>
      <c r="AP47" s="22"/>
      <c r="AQ47" s="23">
        <f>1083.33</f>
        <v>1083.33</v>
      </c>
      <c r="AR47" s="23">
        <f t="shared" si="47"/>
        <v>-1083.33</v>
      </c>
      <c r="AS47" s="24">
        <f t="shared" si="48"/>
        <v>0</v>
      </c>
      <c r="AT47" s="22"/>
      <c r="AU47" s="23">
        <f>1083.37</f>
        <v>1083.3699999999999</v>
      </c>
      <c r="AV47" s="23">
        <f t="shared" si="49"/>
        <v>-1083.3699999999999</v>
      </c>
      <c r="AW47" s="24">
        <f t="shared" si="50"/>
        <v>0</v>
      </c>
      <c r="AX47" s="23">
        <f t="shared" si="51"/>
        <v>10687.259999999998</v>
      </c>
      <c r="AY47" s="23">
        <f t="shared" si="51"/>
        <v>13000</v>
      </c>
      <c r="AZ47" s="23">
        <f t="shared" si="52"/>
        <v>-2312.7400000000016</v>
      </c>
      <c r="BA47" s="24">
        <f t="shared" si="53"/>
        <v>0.82209692307692295</v>
      </c>
    </row>
    <row r="48" spans="1:53" x14ac:dyDescent="0.3">
      <c r="A48" s="21" t="s">
        <v>123</v>
      </c>
      <c r="B48" s="23">
        <f>5.38</f>
        <v>5.38</v>
      </c>
      <c r="C48" s="23">
        <f>1333.33</f>
        <v>1333.33</v>
      </c>
      <c r="D48" s="23">
        <f t="shared" si="27"/>
        <v>-1327.9499999999998</v>
      </c>
      <c r="E48" s="24">
        <f t="shared" si="28"/>
        <v>4.0350100875252192E-3</v>
      </c>
      <c r="F48" s="23">
        <f>1411.34</f>
        <v>1411.34</v>
      </c>
      <c r="G48" s="23">
        <f>1333.33</f>
        <v>1333.33</v>
      </c>
      <c r="H48" s="23">
        <f t="shared" si="29"/>
        <v>78.009999999999991</v>
      </c>
      <c r="I48" s="24">
        <f t="shared" si="30"/>
        <v>1.0585076462691156</v>
      </c>
      <c r="J48" s="23">
        <f>1739.44</f>
        <v>1739.44</v>
      </c>
      <c r="K48" s="23">
        <f>1333.33</f>
        <v>1333.33</v>
      </c>
      <c r="L48" s="23">
        <f t="shared" si="31"/>
        <v>406.11000000000013</v>
      </c>
      <c r="M48" s="24">
        <f t="shared" si="32"/>
        <v>1.3045832614581538</v>
      </c>
      <c r="N48" s="23">
        <f>1941.69</f>
        <v>1941.69</v>
      </c>
      <c r="O48" s="23">
        <f>1333.33</f>
        <v>1333.33</v>
      </c>
      <c r="P48" s="23">
        <f t="shared" si="33"/>
        <v>608.36000000000013</v>
      </c>
      <c r="Q48" s="24">
        <f t="shared" si="34"/>
        <v>1.4562711406778519</v>
      </c>
      <c r="R48" s="23">
        <f>1329.15</f>
        <v>1329.15</v>
      </c>
      <c r="S48" s="23">
        <f>1333.33</f>
        <v>1333.33</v>
      </c>
      <c r="T48" s="23">
        <f t="shared" si="35"/>
        <v>-4.1799999999998363</v>
      </c>
      <c r="U48" s="24">
        <f t="shared" si="36"/>
        <v>0.99686499216248048</v>
      </c>
      <c r="V48" s="23">
        <f>1967.05</f>
        <v>1967.05</v>
      </c>
      <c r="W48" s="23">
        <f>1333.33</f>
        <v>1333.33</v>
      </c>
      <c r="X48" s="23">
        <f t="shared" si="37"/>
        <v>633.72</v>
      </c>
      <c r="Y48" s="24">
        <f t="shared" si="38"/>
        <v>1.4752911882279707</v>
      </c>
      <c r="Z48" s="23">
        <f>389.32</f>
        <v>389.32</v>
      </c>
      <c r="AA48" s="23">
        <f>1333.33</f>
        <v>1333.33</v>
      </c>
      <c r="AB48" s="23">
        <f t="shared" si="39"/>
        <v>-944.01</v>
      </c>
      <c r="AC48" s="24">
        <f t="shared" si="40"/>
        <v>0.29199072997682496</v>
      </c>
      <c r="AD48" s="23">
        <f>1923.27</f>
        <v>1923.27</v>
      </c>
      <c r="AE48" s="23">
        <f>1333.33</f>
        <v>1333.33</v>
      </c>
      <c r="AF48" s="23">
        <f t="shared" si="41"/>
        <v>589.94000000000005</v>
      </c>
      <c r="AG48" s="24">
        <f t="shared" si="42"/>
        <v>1.4424561061402654</v>
      </c>
      <c r="AH48" s="23">
        <f>1476.08</f>
        <v>1476.08</v>
      </c>
      <c r="AI48" s="23">
        <f>1333.33</f>
        <v>1333.33</v>
      </c>
      <c r="AJ48" s="23">
        <f t="shared" si="43"/>
        <v>142.75</v>
      </c>
      <c r="AK48" s="24">
        <f t="shared" si="44"/>
        <v>1.1070627676569191</v>
      </c>
      <c r="AL48" s="23">
        <f>1705.2</f>
        <v>1705.2</v>
      </c>
      <c r="AM48" s="23">
        <f>1333.33</f>
        <v>1333.33</v>
      </c>
      <c r="AN48" s="23">
        <f t="shared" si="45"/>
        <v>371.87000000000012</v>
      </c>
      <c r="AO48" s="24">
        <f t="shared" si="46"/>
        <v>1.2789031972579932</v>
      </c>
      <c r="AP48" s="22"/>
      <c r="AQ48" s="23">
        <f>1333.33</f>
        <v>1333.33</v>
      </c>
      <c r="AR48" s="23">
        <f t="shared" si="47"/>
        <v>-1333.33</v>
      </c>
      <c r="AS48" s="24">
        <f t="shared" si="48"/>
        <v>0</v>
      </c>
      <c r="AT48" s="22"/>
      <c r="AU48" s="23">
        <f>1333.37</f>
        <v>1333.37</v>
      </c>
      <c r="AV48" s="23">
        <f t="shared" si="49"/>
        <v>-1333.37</v>
      </c>
      <c r="AW48" s="24">
        <f t="shared" si="50"/>
        <v>0</v>
      </c>
      <c r="AX48" s="23">
        <f t="shared" si="51"/>
        <v>13887.92</v>
      </c>
      <c r="AY48" s="23">
        <f t="shared" si="51"/>
        <v>16000</v>
      </c>
      <c r="AZ48" s="23">
        <f t="shared" si="52"/>
        <v>-2112.08</v>
      </c>
      <c r="BA48" s="24">
        <f t="shared" si="53"/>
        <v>0.86799499999999996</v>
      </c>
    </row>
    <row r="49" spans="1:53" x14ac:dyDescent="0.3">
      <c r="A49" s="21" t="s">
        <v>124</v>
      </c>
      <c r="B49" s="23">
        <f>45</f>
        <v>45</v>
      </c>
      <c r="C49" s="23">
        <f>375</f>
        <v>375</v>
      </c>
      <c r="D49" s="23">
        <f t="shared" si="27"/>
        <v>-330</v>
      </c>
      <c r="E49" s="24">
        <f t="shared" si="28"/>
        <v>0.12</v>
      </c>
      <c r="F49" s="22"/>
      <c r="G49" s="23">
        <f>375</f>
        <v>375</v>
      </c>
      <c r="H49" s="23">
        <f t="shared" si="29"/>
        <v>-375</v>
      </c>
      <c r="I49" s="24">
        <f t="shared" si="30"/>
        <v>0</v>
      </c>
      <c r="J49" s="23">
        <f>835.98</f>
        <v>835.98</v>
      </c>
      <c r="K49" s="23">
        <f>375</f>
        <v>375</v>
      </c>
      <c r="L49" s="23">
        <f t="shared" si="31"/>
        <v>460.98</v>
      </c>
      <c r="M49" s="24">
        <f t="shared" si="32"/>
        <v>2.2292800000000002</v>
      </c>
      <c r="N49" s="22"/>
      <c r="O49" s="23">
        <f>375</f>
        <v>375</v>
      </c>
      <c r="P49" s="23">
        <f t="shared" si="33"/>
        <v>-375</v>
      </c>
      <c r="Q49" s="24">
        <f t="shared" si="34"/>
        <v>0</v>
      </c>
      <c r="R49" s="22"/>
      <c r="S49" s="23">
        <f>375</f>
        <v>375</v>
      </c>
      <c r="T49" s="23">
        <f t="shared" si="35"/>
        <v>-375</v>
      </c>
      <c r="U49" s="24">
        <f t="shared" si="36"/>
        <v>0</v>
      </c>
      <c r="V49" s="23">
        <f>1887.33</f>
        <v>1887.33</v>
      </c>
      <c r="W49" s="23">
        <f>375</f>
        <v>375</v>
      </c>
      <c r="X49" s="23">
        <f t="shared" si="37"/>
        <v>1512.33</v>
      </c>
      <c r="Y49" s="24">
        <f t="shared" si="38"/>
        <v>5.0328799999999996</v>
      </c>
      <c r="Z49" s="22"/>
      <c r="AA49" s="23">
        <f>375</f>
        <v>375</v>
      </c>
      <c r="AB49" s="23">
        <f t="shared" si="39"/>
        <v>-375</v>
      </c>
      <c r="AC49" s="24">
        <f t="shared" si="40"/>
        <v>0</v>
      </c>
      <c r="AD49" s="23">
        <f>1460.95</f>
        <v>1460.95</v>
      </c>
      <c r="AE49" s="23">
        <f>375</f>
        <v>375</v>
      </c>
      <c r="AF49" s="23">
        <f t="shared" si="41"/>
        <v>1085.95</v>
      </c>
      <c r="AG49" s="24">
        <f t="shared" si="42"/>
        <v>3.8958666666666666</v>
      </c>
      <c r="AH49" s="22"/>
      <c r="AI49" s="23">
        <f>375</f>
        <v>375</v>
      </c>
      <c r="AJ49" s="23">
        <f t="shared" si="43"/>
        <v>-375</v>
      </c>
      <c r="AK49" s="24">
        <f t="shared" si="44"/>
        <v>0</v>
      </c>
      <c r="AL49" s="23">
        <f>1460.95</f>
        <v>1460.95</v>
      </c>
      <c r="AM49" s="23">
        <f>375</f>
        <v>375</v>
      </c>
      <c r="AN49" s="23">
        <f t="shared" si="45"/>
        <v>1085.95</v>
      </c>
      <c r="AO49" s="24">
        <f t="shared" si="46"/>
        <v>3.8958666666666666</v>
      </c>
      <c r="AP49" s="22"/>
      <c r="AQ49" s="23">
        <f>375</f>
        <v>375</v>
      </c>
      <c r="AR49" s="23">
        <f t="shared" si="47"/>
        <v>-375</v>
      </c>
      <c r="AS49" s="24">
        <f t="shared" si="48"/>
        <v>0</v>
      </c>
      <c r="AT49" s="22"/>
      <c r="AU49" s="23">
        <f>375</f>
        <v>375</v>
      </c>
      <c r="AV49" s="23">
        <f t="shared" si="49"/>
        <v>-375</v>
      </c>
      <c r="AW49" s="24">
        <f t="shared" si="50"/>
        <v>0</v>
      </c>
      <c r="AX49" s="23">
        <f t="shared" si="51"/>
        <v>5690.21</v>
      </c>
      <c r="AY49" s="23">
        <f t="shared" si="51"/>
        <v>4500</v>
      </c>
      <c r="AZ49" s="23">
        <f t="shared" si="52"/>
        <v>1190.21</v>
      </c>
      <c r="BA49" s="24">
        <f t="shared" si="53"/>
        <v>1.264491111111111</v>
      </c>
    </row>
    <row r="50" spans="1:53" x14ac:dyDescent="0.3">
      <c r="A50" s="21" t="s">
        <v>125</v>
      </c>
      <c r="B50" s="25">
        <f>(((B46)+(B47))+(B48))+(B49)</f>
        <v>100.72</v>
      </c>
      <c r="C50" s="25">
        <f>(((C46)+(C47))+(C48))+(C49)</f>
        <v>2791.66</v>
      </c>
      <c r="D50" s="25">
        <f t="shared" si="27"/>
        <v>-2690.94</v>
      </c>
      <c r="E50" s="26">
        <f t="shared" si="28"/>
        <v>3.6078892128697623E-2</v>
      </c>
      <c r="F50" s="25">
        <f>(((F46)+(F47))+(F48))+(F49)</f>
        <v>2097.42</v>
      </c>
      <c r="G50" s="25">
        <f>(((G46)+(G47))+(G48))+(G49)</f>
        <v>2791.66</v>
      </c>
      <c r="H50" s="25">
        <f t="shared" si="29"/>
        <v>-694.23999999999978</v>
      </c>
      <c r="I50" s="26">
        <f t="shared" si="30"/>
        <v>0.75131642105413987</v>
      </c>
      <c r="J50" s="25">
        <f>(((J46)+(J47))+(J48))+(J49)</f>
        <v>3568.43</v>
      </c>
      <c r="K50" s="25">
        <f>(((K46)+(K47))+(K48))+(K49)</f>
        <v>2791.66</v>
      </c>
      <c r="L50" s="25">
        <f t="shared" si="31"/>
        <v>776.77</v>
      </c>
      <c r="M50" s="26">
        <f t="shared" si="32"/>
        <v>1.278246634618829</v>
      </c>
      <c r="N50" s="25">
        <f>(((N46)+(N47))+(N48))+(N49)</f>
        <v>3240.88</v>
      </c>
      <c r="O50" s="25">
        <f>(((O46)+(O47))+(O48))+(O49)</f>
        <v>2791.66</v>
      </c>
      <c r="P50" s="25">
        <f t="shared" si="33"/>
        <v>449.22000000000025</v>
      </c>
      <c r="Q50" s="26">
        <f t="shared" si="34"/>
        <v>1.1609150111403252</v>
      </c>
      <c r="R50" s="25">
        <f>(((R46)+(R47))+(R48))+(R49)</f>
        <v>2819.66</v>
      </c>
      <c r="S50" s="25">
        <f>(((S46)+(S47))+(S48))+(S49)</f>
        <v>2791.66</v>
      </c>
      <c r="T50" s="25">
        <f t="shared" si="35"/>
        <v>28</v>
      </c>
      <c r="U50" s="26">
        <f t="shared" si="36"/>
        <v>1.0100298746982082</v>
      </c>
      <c r="V50" s="25">
        <f>(((V46)+(V47))+(V48))+(V49)</f>
        <v>4995.33</v>
      </c>
      <c r="W50" s="25">
        <f>(((W46)+(W47))+(W48))+(W49)</f>
        <v>2791.66</v>
      </c>
      <c r="X50" s="25">
        <f t="shared" si="37"/>
        <v>2203.67</v>
      </c>
      <c r="Y50" s="26">
        <f t="shared" si="38"/>
        <v>1.7893762134357336</v>
      </c>
      <c r="Z50" s="25">
        <f>(((Z46)+(Z47))+(Z48))+(Z49)</f>
        <v>1588.6599999999999</v>
      </c>
      <c r="AA50" s="25">
        <f>(((AA46)+(AA47))+(AA48))+(AA49)</f>
        <v>2791.66</v>
      </c>
      <c r="AB50" s="25">
        <f t="shared" si="39"/>
        <v>-1203</v>
      </c>
      <c r="AC50" s="26">
        <f t="shared" si="40"/>
        <v>0.56907359778769617</v>
      </c>
      <c r="AD50" s="25">
        <f>(((AD46)+(AD47))+(AD48))+(AD49)</f>
        <v>4346.3</v>
      </c>
      <c r="AE50" s="25">
        <f>(((AE46)+(AE47))+(AE48))+(AE49)</f>
        <v>2791.66</v>
      </c>
      <c r="AF50" s="25">
        <f t="shared" si="41"/>
        <v>1554.6400000000003</v>
      </c>
      <c r="AG50" s="26">
        <f t="shared" si="42"/>
        <v>1.5568873000293733</v>
      </c>
      <c r="AH50" s="25">
        <f>(((AH46)+(AH47))+(AH48))+(AH49)</f>
        <v>3012.05</v>
      </c>
      <c r="AI50" s="25">
        <f>(((AI46)+(AI47))+(AI48))+(AI49)</f>
        <v>2791.66</v>
      </c>
      <c r="AJ50" s="25">
        <f t="shared" si="43"/>
        <v>220.39000000000033</v>
      </c>
      <c r="AK50" s="26">
        <f t="shared" si="44"/>
        <v>1.0789458601692183</v>
      </c>
      <c r="AL50" s="25">
        <f>(((AL46)+(AL47))+(AL48))+(AL49)</f>
        <v>4495.9399999999996</v>
      </c>
      <c r="AM50" s="25">
        <f>(((AM46)+(AM47))+(AM48))+(AM49)</f>
        <v>2791.66</v>
      </c>
      <c r="AN50" s="25">
        <f t="shared" si="45"/>
        <v>1704.2799999999997</v>
      </c>
      <c r="AO50" s="26">
        <f t="shared" si="46"/>
        <v>1.6104898160950831</v>
      </c>
      <c r="AP50" s="25">
        <f>(((AP46)+(AP47))+(AP48))+(AP49)</f>
        <v>0</v>
      </c>
      <c r="AQ50" s="25">
        <f>(((AQ46)+(AQ47))+(AQ48))+(AQ49)</f>
        <v>2791.66</v>
      </c>
      <c r="AR50" s="25">
        <f t="shared" si="47"/>
        <v>-2791.66</v>
      </c>
      <c r="AS50" s="26">
        <f t="shared" si="48"/>
        <v>0</v>
      </c>
      <c r="AT50" s="25">
        <f>(((AT46)+(AT47))+(AT48))+(AT49)</f>
        <v>0</v>
      </c>
      <c r="AU50" s="25">
        <f>(((AU46)+(AU47))+(AU48))+(AU49)</f>
        <v>2791.74</v>
      </c>
      <c r="AV50" s="25">
        <f t="shared" si="49"/>
        <v>-2791.74</v>
      </c>
      <c r="AW50" s="26">
        <f t="shared" si="50"/>
        <v>0</v>
      </c>
      <c r="AX50" s="25">
        <f t="shared" si="51"/>
        <v>30265.39</v>
      </c>
      <c r="AY50" s="25">
        <f t="shared" si="51"/>
        <v>33500</v>
      </c>
      <c r="AZ50" s="25">
        <f t="shared" si="52"/>
        <v>-3234.6100000000006</v>
      </c>
      <c r="BA50" s="26">
        <f t="shared" si="53"/>
        <v>0.90344447761194024</v>
      </c>
    </row>
    <row r="51" spans="1:53" x14ac:dyDescent="0.3">
      <c r="A51" s="21" t="s">
        <v>126</v>
      </c>
      <c r="B51" s="23">
        <f>1500</f>
        <v>1500</v>
      </c>
      <c r="C51" s="23">
        <f>125</f>
        <v>125</v>
      </c>
      <c r="D51" s="23">
        <f t="shared" si="27"/>
        <v>1375</v>
      </c>
      <c r="E51" s="24">
        <f t="shared" si="28"/>
        <v>12</v>
      </c>
      <c r="F51" s="22"/>
      <c r="G51" s="23">
        <f>125</f>
        <v>125</v>
      </c>
      <c r="H51" s="23">
        <f t="shared" si="29"/>
        <v>-125</v>
      </c>
      <c r="I51" s="24">
        <f t="shared" si="30"/>
        <v>0</v>
      </c>
      <c r="J51" s="22"/>
      <c r="K51" s="23">
        <f>125</f>
        <v>125</v>
      </c>
      <c r="L51" s="23">
        <f t="shared" si="31"/>
        <v>-125</v>
      </c>
      <c r="M51" s="24">
        <f t="shared" si="32"/>
        <v>0</v>
      </c>
      <c r="N51" s="22"/>
      <c r="O51" s="23">
        <f>125</f>
        <v>125</v>
      </c>
      <c r="P51" s="23">
        <f t="shared" si="33"/>
        <v>-125</v>
      </c>
      <c r="Q51" s="24">
        <f t="shared" si="34"/>
        <v>0</v>
      </c>
      <c r="R51" s="22"/>
      <c r="S51" s="23">
        <f>125</f>
        <v>125</v>
      </c>
      <c r="T51" s="23">
        <f t="shared" si="35"/>
        <v>-125</v>
      </c>
      <c r="U51" s="24">
        <f t="shared" si="36"/>
        <v>0</v>
      </c>
      <c r="V51" s="23">
        <f>2000</f>
        <v>2000</v>
      </c>
      <c r="W51" s="23">
        <f>125</f>
        <v>125</v>
      </c>
      <c r="X51" s="23">
        <f t="shared" si="37"/>
        <v>1875</v>
      </c>
      <c r="Y51" s="24">
        <f t="shared" si="38"/>
        <v>16</v>
      </c>
      <c r="Z51" s="22"/>
      <c r="AA51" s="23">
        <f>125</f>
        <v>125</v>
      </c>
      <c r="AB51" s="23">
        <f t="shared" si="39"/>
        <v>-125</v>
      </c>
      <c r="AC51" s="24">
        <f t="shared" si="40"/>
        <v>0</v>
      </c>
      <c r="AD51" s="22"/>
      <c r="AE51" s="23">
        <f>125</f>
        <v>125</v>
      </c>
      <c r="AF51" s="23">
        <f t="shared" si="41"/>
        <v>-125</v>
      </c>
      <c r="AG51" s="24">
        <f t="shared" si="42"/>
        <v>0</v>
      </c>
      <c r="AH51" s="22"/>
      <c r="AI51" s="23">
        <f>125</f>
        <v>125</v>
      </c>
      <c r="AJ51" s="23">
        <f t="shared" si="43"/>
        <v>-125</v>
      </c>
      <c r="AK51" s="24">
        <f t="shared" si="44"/>
        <v>0</v>
      </c>
      <c r="AL51" s="22"/>
      <c r="AM51" s="23">
        <f>125</f>
        <v>125</v>
      </c>
      <c r="AN51" s="23">
        <f t="shared" si="45"/>
        <v>-125</v>
      </c>
      <c r="AO51" s="24">
        <f t="shared" si="46"/>
        <v>0</v>
      </c>
      <c r="AP51" s="22"/>
      <c r="AQ51" s="23">
        <f>125</f>
        <v>125</v>
      </c>
      <c r="AR51" s="23">
        <f t="shared" si="47"/>
        <v>-125</v>
      </c>
      <c r="AS51" s="24">
        <f t="shared" si="48"/>
        <v>0</v>
      </c>
      <c r="AT51" s="22"/>
      <c r="AU51" s="23">
        <f>125</f>
        <v>125</v>
      </c>
      <c r="AV51" s="23">
        <f t="shared" si="49"/>
        <v>-125</v>
      </c>
      <c r="AW51" s="24">
        <f t="shared" si="50"/>
        <v>0</v>
      </c>
      <c r="AX51" s="23">
        <f t="shared" si="51"/>
        <v>3500</v>
      </c>
      <c r="AY51" s="23">
        <f t="shared" si="51"/>
        <v>1500</v>
      </c>
      <c r="AZ51" s="23">
        <f t="shared" si="52"/>
        <v>2000</v>
      </c>
      <c r="BA51" s="24">
        <f t="shared" si="53"/>
        <v>2.3333333333333335</v>
      </c>
    </row>
    <row r="52" spans="1:53" x14ac:dyDescent="0.3">
      <c r="A52" s="21" t="s">
        <v>127</v>
      </c>
      <c r="B52" s="25">
        <f>(((((B35)+(B41))+(B44))+(B45))+(B50))+(B51)</f>
        <v>8114.4400000000005</v>
      </c>
      <c r="C52" s="25">
        <f>(((((C35)+(C41))+(C44))+(C45))+(C50))+(C51)</f>
        <v>5666.66</v>
      </c>
      <c r="D52" s="25">
        <f t="shared" si="27"/>
        <v>2447.7800000000007</v>
      </c>
      <c r="E52" s="26">
        <f t="shared" si="28"/>
        <v>1.4319616846608056</v>
      </c>
      <c r="F52" s="25">
        <f>(((((F35)+(F41))+(F44))+(F45))+(F50))+(F51)</f>
        <v>2943.19</v>
      </c>
      <c r="G52" s="25">
        <f>(((((G35)+(G41))+(G44))+(G45))+(G50))+(G51)</f>
        <v>5666.66</v>
      </c>
      <c r="H52" s="25">
        <f t="shared" si="29"/>
        <v>-2723.47</v>
      </c>
      <c r="I52" s="26">
        <f t="shared" si="30"/>
        <v>0.51938708163186076</v>
      </c>
      <c r="J52" s="25">
        <f>(((((J35)+(J41))+(J44))+(J45))+(J50))+(J51)</f>
        <v>4533.04</v>
      </c>
      <c r="K52" s="25">
        <f>(((((K35)+(K41))+(K44))+(K45))+(K50))+(K51)</f>
        <v>5666.66</v>
      </c>
      <c r="L52" s="25">
        <f t="shared" si="31"/>
        <v>-1133.6199999999999</v>
      </c>
      <c r="M52" s="26">
        <f t="shared" si="32"/>
        <v>0.79994917641079577</v>
      </c>
      <c r="N52" s="25">
        <f>(((((N35)+(N41))+(N44))+(N45))+(N50))+(N51)</f>
        <v>6401.77</v>
      </c>
      <c r="O52" s="25">
        <f>(((((O35)+(O41))+(O44))+(O45))+(O50))+(O51)</f>
        <v>5666.66</v>
      </c>
      <c r="P52" s="25">
        <f t="shared" si="33"/>
        <v>735.11000000000058</v>
      </c>
      <c r="Q52" s="26">
        <f t="shared" si="34"/>
        <v>1.1297254467358198</v>
      </c>
      <c r="R52" s="25">
        <f>(((((R35)+(R41))+(R44))+(R45))+(R50))+(R51)</f>
        <v>6456.66</v>
      </c>
      <c r="S52" s="25">
        <f>(((((S35)+(S41))+(S44))+(S45))+(S50))+(S51)</f>
        <v>5666.66</v>
      </c>
      <c r="T52" s="25">
        <f t="shared" si="35"/>
        <v>790</v>
      </c>
      <c r="U52" s="26">
        <f t="shared" si="36"/>
        <v>1.139411928719916</v>
      </c>
      <c r="V52" s="25">
        <f>(((((V35)+(V41))+(V44))+(V45))+(V50))+(V51)</f>
        <v>7709.63</v>
      </c>
      <c r="W52" s="25">
        <f>(((((W35)+(W41))+(W44))+(W45))+(W50))+(W51)</f>
        <v>5666.66</v>
      </c>
      <c r="X52" s="25">
        <f t="shared" si="37"/>
        <v>2042.9700000000003</v>
      </c>
      <c r="Y52" s="26">
        <f t="shared" si="38"/>
        <v>1.3605245417935787</v>
      </c>
      <c r="Z52" s="25">
        <f>(((((Z35)+(Z41))+(Z44))+(Z45))+(Z50))+(Z51)</f>
        <v>2176.4699999999998</v>
      </c>
      <c r="AA52" s="25">
        <f>(((((AA35)+(AA41))+(AA44))+(AA45))+(AA50))+(AA51)</f>
        <v>5666.66</v>
      </c>
      <c r="AB52" s="25">
        <f t="shared" si="39"/>
        <v>-3490.19</v>
      </c>
      <c r="AC52" s="26">
        <f t="shared" si="40"/>
        <v>0.3840833930392859</v>
      </c>
      <c r="AD52" s="25">
        <f>(((((AD35)+(AD41))+(AD44))+(AD45))+(AD50))+(AD51)</f>
        <v>5274.62</v>
      </c>
      <c r="AE52" s="25">
        <f>(((((AE35)+(AE41))+(AE44))+(AE45))+(AE50))+(AE51)</f>
        <v>5666.66</v>
      </c>
      <c r="AF52" s="25">
        <f t="shared" si="41"/>
        <v>-392.03999999999996</v>
      </c>
      <c r="AG52" s="26">
        <f t="shared" si="42"/>
        <v>0.93081638919575205</v>
      </c>
      <c r="AH52" s="25">
        <f>(((((AH35)+(AH41))+(AH44))+(AH45))+(AH50))+(AH51)</f>
        <v>4811.2700000000004</v>
      </c>
      <c r="AI52" s="25">
        <f>(((((AI35)+(AI41))+(AI44))+(AI45))+(AI50))+(AI51)</f>
        <v>5666.66</v>
      </c>
      <c r="AJ52" s="25">
        <f t="shared" si="43"/>
        <v>-855.38999999999942</v>
      </c>
      <c r="AK52" s="26">
        <f t="shared" si="44"/>
        <v>0.84904864593958351</v>
      </c>
      <c r="AL52" s="25">
        <f>(((((AL35)+(AL41))+(AL44))+(AL45))+(AL50))+(AL51)</f>
        <v>5156.95</v>
      </c>
      <c r="AM52" s="25">
        <f>(((((AM35)+(AM41))+(AM44))+(AM45))+(AM50))+(AM51)</f>
        <v>5666.66</v>
      </c>
      <c r="AN52" s="25">
        <f t="shared" si="45"/>
        <v>-509.71000000000004</v>
      </c>
      <c r="AO52" s="26">
        <f t="shared" si="46"/>
        <v>0.91005107064831836</v>
      </c>
      <c r="AP52" s="25">
        <f>(((((AP35)+(AP41))+(AP44))+(AP45))+(AP50))+(AP51)</f>
        <v>1154.71</v>
      </c>
      <c r="AQ52" s="25">
        <f>(((((AQ35)+(AQ41))+(AQ44))+(AQ45))+(AQ50))+(AQ51)</f>
        <v>5666.66</v>
      </c>
      <c r="AR52" s="25">
        <f t="shared" si="47"/>
        <v>-4511.95</v>
      </c>
      <c r="AS52" s="26">
        <f t="shared" si="48"/>
        <v>0.20377259267363845</v>
      </c>
      <c r="AT52" s="25">
        <f>(((((AT35)+(AT41))+(AT44))+(AT45))+(AT50))+(AT51)</f>
        <v>0</v>
      </c>
      <c r="AU52" s="25">
        <f>(((((AU35)+(AU41))+(AU44))+(AU45))+(AU50))+(AU51)</f>
        <v>5666.74</v>
      </c>
      <c r="AV52" s="25">
        <f t="shared" si="49"/>
        <v>-5666.74</v>
      </c>
      <c r="AW52" s="26">
        <f t="shared" si="50"/>
        <v>0</v>
      </c>
      <c r="AX52" s="25">
        <f t="shared" si="51"/>
        <v>54732.750000000007</v>
      </c>
      <c r="AY52" s="25">
        <f t="shared" si="51"/>
        <v>68000.000000000015</v>
      </c>
      <c r="AZ52" s="25">
        <f t="shared" si="52"/>
        <v>-13267.250000000007</v>
      </c>
      <c r="BA52" s="26">
        <f t="shared" si="53"/>
        <v>0.80489338235294106</v>
      </c>
    </row>
    <row r="53" spans="1:53" x14ac:dyDescent="0.3">
      <c r="A53" s="21" t="s">
        <v>128</v>
      </c>
      <c r="B53" s="23">
        <f>296.55</f>
        <v>296.55</v>
      </c>
      <c r="C53" s="23">
        <f>291.67</f>
        <v>291.67</v>
      </c>
      <c r="D53" s="23">
        <f t="shared" si="27"/>
        <v>4.8799999999999955</v>
      </c>
      <c r="E53" s="24">
        <f t="shared" si="28"/>
        <v>1.0167312373572874</v>
      </c>
      <c r="F53" s="23">
        <f>275.78</f>
        <v>275.77999999999997</v>
      </c>
      <c r="G53" s="23">
        <f>291.67</f>
        <v>291.67</v>
      </c>
      <c r="H53" s="23">
        <f t="shared" si="29"/>
        <v>-15.890000000000043</v>
      </c>
      <c r="I53" s="24">
        <f t="shared" si="30"/>
        <v>0.94552062262145564</v>
      </c>
      <c r="J53" s="23">
        <f>551.44</f>
        <v>551.44000000000005</v>
      </c>
      <c r="K53" s="23">
        <f>291.67</f>
        <v>291.67</v>
      </c>
      <c r="L53" s="23">
        <f t="shared" si="31"/>
        <v>259.77000000000004</v>
      </c>
      <c r="M53" s="24">
        <f t="shared" si="32"/>
        <v>1.89062982137347</v>
      </c>
      <c r="N53" s="22"/>
      <c r="O53" s="23">
        <f>291.67</f>
        <v>291.67</v>
      </c>
      <c r="P53" s="23">
        <f t="shared" si="33"/>
        <v>-291.67</v>
      </c>
      <c r="Q53" s="24">
        <f t="shared" si="34"/>
        <v>0</v>
      </c>
      <c r="R53" s="23">
        <f>277.83</f>
        <v>277.83</v>
      </c>
      <c r="S53" s="23">
        <f>291.67</f>
        <v>291.67</v>
      </c>
      <c r="T53" s="23">
        <f t="shared" si="35"/>
        <v>-13.840000000000032</v>
      </c>
      <c r="U53" s="24">
        <f t="shared" si="36"/>
        <v>0.95254911372441442</v>
      </c>
      <c r="V53" s="23">
        <f>310.41</f>
        <v>310.41000000000003</v>
      </c>
      <c r="W53" s="23">
        <f>291.67</f>
        <v>291.67</v>
      </c>
      <c r="X53" s="23">
        <f t="shared" si="37"/>
        <v>18.740000000000009</v>
      </c>
      <c r="Y53" s="24">
        <f t="shared" si="38"/>
        <v>1.0642506942777796</v>
      </c>
      <c r="Z53" s="23">
        <f>277.55</f>
        <v>277.55</v>
      </c>
      <c r="AA53" s="23">
        <f>291.67</f>
        <v>291.67</v>
      </c>
      <c r="AB53" s="23">
        <f t="shared" si="39"/>
        <v>-14.120000000000005</v>
      </c>
      <c r="AC53" s="24">
        <f t="shared" si="40"/>
        <v>0.95158912469571777</v>
      </c>
      <c r="AD53" s="23">
        <f>282.27</f>
        <v>282.27</v>
      </c>
      <c r="AE53" s="23">
        <f>291.67</f>
        <v>291.67</v>
      </c>
      <c r="AF53" s="23">
        <f t="shared" si="41"/>
        <v>-9.4000000000000341</v>
      </c>
      <c r="AG53" s="24">
        <f t="shared" si="42"/>
        <v>0.9677717968937497</v>
      </c>
      <c r="AH53" s="23">
        <f>277.75</f>
        <v>277.75</v>
      </c>
      <c r="AI53" s="23">
        <f>291.67</f>
        <v>291.67</v>
      </c>
      <c r="AJ53" s="23">
        <f t="shared" si="43"/>
        <v>-13.920000000000016</v>
      </c>
      <c r="AK53" s="24">
        <f t="shared" si="44"/>
        <v>0.95227483114478684</v>
      </c>
      <c r="AL53" s="23">
        <f>277.3</f>
        <v>277.3</v>
      </c>
      <c r="AM53" s="23">
        <f>291.67</f>
        <v>291.67</v>
      </c>
      <c r="AN53" s="23">
        <f t="shared" si="45"/>
        <v>-14.370000000000005</v>
      </c>
      <c r="AO53" s="24">
        <f t="shared" si="46"/>
        <v>0.95073199163438127</v>
      </c>
      <c r="AP53" s="23">
        <f>324.01</f>
        <v>324.01</v>
      </c>
      <c r="AQ53" s="23">
        <f>291.67</f>
        <v>291.67</v>
      </c>
      <c r="AR53" s="23">
        <f t="shared" si="47"/>
        <v>32.339999999999975</v>
      </c>
      <c r="AS53" s="24">
        <f t="shared" si="48"/>
        <v>1.110878732814482</v>
      </c>
      <c r="AT53" s="22"/>
      <c r="AU53" s="23">
        <f>291.63</f>
        <v>291.63</v>
      </c>
      <c r="AV53" s="23">
        <f t="shared" si="49"/>
        <v>-291.63</v>
      </c>
      <c r="AW53" s="24">
        <f t="shared" si="50"/>
        <v>0</v>
      </c>
      <c r="AX53" s="23">
        <f t="shared" ref="AX53:AY84" si="54">(((((((((((B53)+(F53))+(J53))+(N53))+(R53))+(V53))+(Z53))+(AD53))+(AH53))+(AL53))+(AP53))+(AT53)</f>
        <v>3150.8900000000003</v>
      </c>
      <c r="AY53" s="23">
        <f t="shared" si="54"/>
        <v>3500.0000000000005</v>
      </c>
      <c r="AZ53" s="23">
        <f t="shared" si="52"/>
        <v>-349.11000000000013</v>
      </c>
      <c r="BA53" s="24">
        <f t="shared" si="53"/>
        <v>0.90025428571428567</v>
      </c>
    </row>
    <row r="54" spans="1:53" x14ac:dyDescent="0.3">
      <c r="A54" s="21" t="s">
        <v>129</v>
      </c>
      <c r="B54" s="22"/>
      <c r="C54" s="23">
        <f>458.33</f>
        <v>458.33</v>
      </c>
      <c r="D54" s="23">
        <f t="shared" si="27"/>
        <v>-458.33</v>
      </c>
      <c r="E54" s="24">
        <f t="shared" si="28"/>
        <v>0</v>
      </c>
      <c r="F54" s="22"/>
      <c r="G54" s="23">
        <f>458.33</f>
        <v>458.33</v>
      </c>
      <c r="H54" s="23">
        <f t="shared" si="29"/>
        <v>-458.33</v>
      </c>
      <c r="I54" s="24">
        <f t="shared" si="30"/>
        <v>0</v>
      </c>
      <c r="J54" s="22"/>
      <c r="K54" s="23">
        <f>458.33</f>
        <v>458.33</v>
      </c>
      <c r="L54" s="23">
        <f t="shared" si="31"/>
        <v>-458.33</v>
      </c>
      <c r="M54" s="24">
        <f t="shared" si="32"/>
        <v>0</v>
      </c>
      <c r="N54" s="22"/>
      <c r="O54" s="23">
        <f>458.33</f>
        <v>458.33</v>
      </c>
      <c r="P54" s="23">
        <f t="shared" si="33"/>
        <v>-458.33</v>
      </c>
      <c r="Q54" s="24">
        <f t="shared" si="34"/>
        <v>0</v>
      </c>
      <c r="R54" s="22"/>
      <c r="S54" s="23">
        <f>458.33</f>
        <v>458.33</v>
      </c>
      <c r="T54" s="23">
        <f t="shared" si="35"/>
        <v>-458.33</v>
      </c>
      <c r="U54" s="24">
        <f t="shared" si="36"/>
        <v>0</v>
      </c>
      <c r="V54" s="22"/>
      <c r="W54" s="23">
        <f>458.33</f>
        <v>458.33</v>
      </c>
      <c r="X54" s="23">
        <f t="shared" si="37"/>
        <v>-458.33</v>
      </c>
      <c r="Y54" s="24">
        <f t="shared" si="38"/>
        <v>0</v>
      </c>
      <c r="Z54" s="22"/>
      <c r="AA54" s="23">
        <f>458.33</f>
        <v>458.33</v>
      </c>
      <c r="AB54" s="23">
        <f t="shared" si="39"/>
        <v>-458.33</v>
      </c>
      <c r="AC54" s="24">
        <f t="shared" si="40"/>
        <v>0</v>
      </c>
      <c r="AD54" s="22"/>
      <c r="AE54" s="23">
        <f>458.33</f>
        <v>458.33</v>
      </c>
      <c r="AF54" s="23">
        <f t="shared" si="41"/>
        <v>-458.33</v>
      </c>
      <c r="AG54" s="24">
        <f t="shared" si="42"/>
        <v>0</v>
      </c>
      <c r="AH54" s="23">
        <f>4461.06</f>
        <v>4461.0600000000004</v>
      </c>
      <c r="AI54" s="23">
        <f>458.33</f>
        <v>458.33</v>
      </c>
      <c r="AJ54" s="23">
        <f t="shared" si="43"/>
        <v>4002.7300000000005</v>
      </c>
      <c r="AK54" s="24">
        <f t="shared" si="44"/>
        <v>9.7332926057644062</v>
      </c>
      <c r="AL54" s="22"/>
      <c r="AM54" s="23">
        <f>458.33</f>
        <v>458.33</v>
      </c>
      <c r="AN54" s="23">
        <f t="shared" si="45"/>
        <v>-458.33</v>
      </c>
      <c r="AO54" s="24">
        <f t="shared" si="46"/>
        <v>0</v>
      </c>
      <c r="AP54" s="22"/>
      <c r="AQ54" s="23">
        <f>458.33</f>
        <v>458.33</v>
      </c>
      <c r="AR54" s="23">
        <f t="shared" si="47"/>
        <v>-458.33</v>
      </c>
      <c r="AS54" s="24">
        <f t="shared" si="48"/>
        <v>0</v>
      </c>
      <c r="AT54" s="22"/>
      <c r="AU54" s="23">
        <f>458.37</f>
        <v>458.37</v>
      </c>
      <c r="AV54" s="23">
        <f t="shared" si="49"/>
        <v>-458.37</v>
      </c>
      <c r="AW54" s="24">
        <f t="shared" si="50"/>
        <v>0</v>
      </c>
      <c r="AX54" s="23">
        <f t="shared" si="54"/>
        <v>4461.0600000000004</v>
      </c>
      <c r="AY54" s="23">
        <f t="shared" si="54"/>
        <v>5500</v>
      </c>
      <c r="AZ54" s="23">
        <f t="shared" si="52"/>
        <v>-1038.9399999999996</v>
      </c>
      <c r="BA54" s="24">
        <f t="shared" si="53"/>
        <v>0.81110181818181826</v>
      </c>
    </row>
    <row r="55" spans="1:53" x14ac:dyDescent="0.3">
      <c r="A55" s="21" t="s">
        <v>130</v>
      </c>
      <c r="B55" s="22"/>
      <c r="C55" s="23">
        <f>291.67</f>
        <v>291.67</v>
      </c>
      <c r="D55" s="23">
        <f t="shared" si="27"/>
        <v>-291.67</v>
      </c>
      <c r="E55" s="24">
        <f t="shared" si="28"/>
        <v>0</v>
      </c>
      <c r="F55" s="22"/>
      <c r="G55" s="23">
        <f>291.67</f>
        <v>291.67</v>
      </c>
      <c r="H55" s="23">
        <f t="shared" si="29"/>
        <v>-291.67</v>
      </c>
      <c r="I55" s="24">
        <f t="shared" si="30"/>
        <v>0</v>
      </c>
      <c r="J55" s="22"/>
      <c r="K55" s="23">
        <f>291.67</f>
        <v>291.67</v>
      </c>
      <c r="L55" s="23">
        <f t="shared" si="31"/>
        <v>-291.67</v>
      </c>
      <c r="M55" s="24">
        <f t="shared" si="32"/>
        <v>0</v>
      </c>
      <c r="N55" s="22"/>
      <c r="O55" s="23">
        <f>291.67</f>
        <v>291.67</v>
      </c>
      <c r="P55" s="23">
        <f t="shared" si="33"/>
        <v>-291.67</v>
      </c>
      <c r="Q55" s="24">
        <f t="shared" si="34"/>
        <v>0</v>
      </c>
      <c r="R55" s="22"/>
      <c r="S55" s="23">
        <f>291.67</f>
        <v>291.67</v>
      </c>
      <c r="T55" s="23">
        <f t="shared" si="35"/>
        <v>-291.67</v>
      </c>
      <c r="U55" s="24">
        <f t="shared" si="36"/>
        <v>0</v>
      </c>
      <c r="V55" s="22"/>
      <c r="W55" s="23">
        <f>291.67</f>
        <v>291.67</v>
      </c>
      <c r="X55" s="23">
        <f t="shared" si="37"/>
        <v>-291.67</v>
      </c>
      <c r="Y55" s="24">
        <f t="shared" si="38"/>
        <v>0</v>
      </c>
      <c r="Z55" s="22"/>
      <c r="AA55" s="23">
        <f>291.67</f>
        <v>291.67</v>
      </c>
      <c r="AB55" s="23">
        <f t="shared" si="39"/>
        <v>-291.67</v>
      </c>
      <c r="AC55" s="24">
        <f t="shared" si="40"/>
        <v>0</v>
      </c>
      <c r="AD55" s="22"/>
      <c r="AE55" s="23">
        <f>291.67</f>
        <v>291.67</v>
      </c>
      <c r="AF55" s="23">
        <f t="shared" si="41"/>
        <v>-291.67</v>
      </c>
      <c r="AG55" s="24">
        <f t="shared" si="42"/>
        <v>0</v>
      </c>
      <c r="AH55" s="22"/>
      <c r="AI55" s="23">
        <f>291.67</f>
        <v>291.67</v>
      </c>
      <c r="AJ55" s="23">
        <f t="shared" si="43"/>
        <v>-291.67</v>
      </c>
      <c r="AK55" s="24">
        <f t="shared" si="44"/>
        <v>0</v>
      </c>
      <c r="AL55" s="22"/>
      <c r="AM55" s="23">
        <f>291.67</f>
        <v>291.67</v>
      </c>
      <c r="AN55" s="23">
        <f t="shared" si="45"/>
        <v>-291.67</v>
      </c>
      <c r="AO55" s="24">
        <f t="shared" si="46"/>
        <v>0</v>
      </c>
      <c r="AP55" s="22"/>
      <c r="AQ55" s="23">
        <f>291.67</f>
        <v>291.67</v>
      </c>
      <c r="AR55" s="23">
        <f t="shared" si="47"/>
        <v>-291.67</v>
      </c>
      <c r="AS55" s="24">
        <f t="shared" si="48"/>
        <v>0</v>
      </c>
      <c r="AT55" s="22"/>
      <c r="AU55" s="23">
        <f>291.63</f>
        <v>291.63</v>
      </c>
      <c r="AV55" s="23">
        <f t="shared" si="49"/>
        <v>-291.63</v>
      </c>
      <c r="AW55" s="24">
        <f t="shared" si="50"/>
        <v>0</v>
      </c>
      <c r="AX55" s="23">
        <f t="shared" si="54"/>
        <v>0</v>
      </c>
      <c r="AY55" s="23">
        <f t="shared" si="54"/>
        <v>3500.0000000000005</v>
      </c>
      <c r="AZ55" s="23">
        <f t="shared" si="52"/>
        <v>-3500.0000000000005</v>
      </c>
      <c r="BA55" s="24">
        <f t="shared" si="53"/>
        <v>0</v>
      </c>
    </row>
    <row r="56" spans="1:53" x14ac:dyDescent="0.3">
      <c r="A56" s="21" t="s">
        <v>85</v>
      </c>
      <c r="B56" s="23">
        <f>8563.17</f>
        <v>8563.17</v>
      </c>
      <c r="C56" s="23">
        <f>766.67</f>
        <v>766.67</v>
      </c>
      <c r="D56" s="23">
        <f t="shared" si="27"/>
        <v>7796.5</v>
      </c>
      <c r="E56" s="24">
        <f t="shared" si="28"/>
        <v>11.169303611723429</v>
      </c>
      <c r="F56" s="23">
        <f>896.96</f>
        <v>896.96</v>
      </c>
      <c r="G56" s="23">
        <f>766.67</f>
        <v>766.67</v>
      </c>
      <c r="H56" s="23">
        <f t="shared" si="29"/>
        <v>130.29000000000008</v>
      </c>
      <c r="I56" s="24">
        <f t="shared" si="30"/>
        <v>1.1699427393793942</v>
      </c>
      <c r="J56" s="22"/>
      <c r="K56" s="23">
        <f>766.67</f>
        <v>766.67</v>
      </c>
      <c r="L56" s="23">
        <f t="shared" si="31"/>
        <v>-766.67</v>
      </c>
      <c r="M56" s="24">
        <f t="shared" si="32"/>
        <v>0</v>
      </c>
      <c r="N56" s="22"/>
      <c r="O56" s="23">
        <f>766.67</f>
        <v>766.67</v>
      </c>
      <c r="P56" s="23">
        <f t="shared" si="33"/>
        <v>-766.67</v>
      </c>
      <c r="Q56" s="24">
        <f t="shared" si="34"/>
        <v>0</v>
      </c>
      <c r="R56" s="22"/>
      <c r="S56" s="23">
        <f>766.67</f>
        <v>766.67</v>
      </c>
      <c r="T56" s="23">
        <f t="shared" si="35"/>
        <v>-766.67</v>
      </c>
      <c r="U56" s="24">
        <f t="shared" si="36"/>
        <v>0</v>
      </c>
      <c r="V56" s="22"/>
      <c r="W56" s="23">
        <f>766.67</f>
        <v>766.67</v>
      </c>
      <c r="X56" s="23">
        <f t="shared" si="37"/>
        <v>-766.67</v>
      </c>
      <c r="Y56" s="24">
        <f t="shared" si="38"/>
        <v>0</v>
      </c>
      <c r="Z56" s="22"/>
      <c r="AA56" s="23">
        <f>766.67</f>
        <v>766.67</v>
      </c>
      <c r="AB56" s="23">
        <f t="shared" si="39"/>
        <v>-766.67</v>
      </c>
      <c r="AC56" s="24">
        <f t="shared" si="40"/>
        <v>0</v>
      </c>
      <c r="AD56" s="22"/>
      <c r="AE56" s="23">
        <f>766.67</f>
        <v>766.67</v>
      </c>
      <c r="AF56" s="23">
        <f t="shared" si="41"/>
        <v>-766.67</v>
      </c>
      <c r="AG56" s="24">
        <f t="shared" si="42"/>
        <v>0</v>
      </c>
      <c r="AH56" s="22"/>
      <c r="AI56" s="23">
        <f>766.67</f>
        <v>766.67</v>
      </c>
      <c r="AJ56" s="23">
        <f t="shared" si="43"/>
        <v>-766.67</v>
      </c>
      <c r="AK56" s="24">
        <f t="shared" si="44"/>
        <v>0</v>
      </c>
      <c r="AL56" s="23">
        <f>407.99</f>
        <v>407.99</v>
      </c>
      <c r="AM56" s="23">
        <f>766.67</f>
        <v>766.67</v>
      </c>
      <c r="AN56" s="23">
        <f t="shared" si="45"/>
        <v>-358.67999999999995</v>
      </c>
      <c r="AO56" s="24">
        <f t="shared" si="46"/>
        <v>0.53215855583236593</v>
      </c>
      <c r="AP56" s="22"/>
      <c r="AQ56" s="23">
        <f>766.67</f>
        <v>766.67</v>
      </c>
      <c r="AR56" s="23">
        <f t="shared" si="47"/>
        <v>-766.67</v>
      </c>
      <c r="AS56" s="24">
        <f t="shared" si="48"/>
        <v>0</v>
      </c>
      <c r="AT56" s="22"/>
      <c r="AU56" s="23">
        <f>766.63</f>
        <v>766.63</v>
      </c>
      <c r="AV56" s="23">
        <f t="shared" si="49"/>
        <v>-766.63</v>
      </c>
      <c r="AW56" s="24">
        <f t="shared" si="50"/>
        <v>0</v>
      </c>
      <c r="AX56" s="23">
        <f t="shared" si="54"/>
        <v>9868.1200000000008</v>
      </c>
      <c r="AY56" s="23">
        <f t="shared" si="54"/>
        <v>9199.9999999999982</v>
      </c>
      <c r="AZ56" s="23">
        <f t="shared" si="52"/>
        <v>668.12000000000262</v>
      </c>
      <c r="BA56" s="24">
        <f t="shared" si="53"/>
        <v>1.0726217391304351</v>
      </c>
    </row>
    <row r="57" spans="1:53" x14ac:dyDescent="0.3">
      <c r="A57" s="21" t="s">
        <v>218</v>
      </c>
      <c r="B57" s="22"/>
      <c r="C57" s="22"/>
      <c r="D57" s="23">
        <f t="shared" si="27"/>
        <v>0</v>
      </c>
      <c r="E57" s="24" t="str">
        <f t="shared" si="28"/>
        <v/>
      </c>
      <c r="F57" s="22"/>
      <c r="G57" s="22"/>
      <c r="H57" s="23">
        <f t="shared" si="29"/>
        <v>0</v>
      </c>
      <c r="I57" s="24" t="str">
        <f t="shared" si="30"/>
        <v/>
      </c>
      <c r="J57" s="22"/>
      <c r="K57" s="22"/>
      <c r="L57" s="23">
        <f t="shared" si="31"/>
        <v>0</v>
      </c>
      <c r="M57" s="24" t="str">
        <f t="shared" si="32"/>
        <v/>
      </c>
      <c r="N57" s="22"/>
      <c r="O57" s="22"/>
      <c r="P57" s="23">
        <f t="shared" si="33"/>
        <v>0</v>
      </c>
      <c r="Q57" s="24" t="str">
        <f t="shared" si="34"/>
        <v/>
      </c>
      <c r="R57" s="22"/>
      <c r="S57" s="22"/>
      <c r="T57" s="23">
        <f t="shared" si="35"/>
        <v>0</v>
      </c>
      <c r="U57" s="24" t="str">
        <f t="shared" si="36"/>
        <v/>
      </c>
      <c r="V57" s="22"/>
      <c r="W57" s="22"/>
      <c r="X57" s="23">
        <f t="shared" si="37"/>
        <v>0</v>
      </c>
      <c r="Y57" s="24" t="str">
        <f t="shared" si="38"/>
        <v/>
      </c>
      <c r="Z57" s="22"/>
      <c r="AA57" s="22"/>
      <c r="AB57" s="23">
        <f t="shared" si="39"/>
        <v>0</v>
      </c>
      <c r="AC57" s="24" t="str">
        <f t="shared" si="40"/>
        <v/>
      </c>
      <c r="AD57" s="22"/>
      <c r="AE57" s="22"/>
      <c r="AF57" s="23">
        <f t="shared" si="41"/>
        <v>0</v>
      </c>
      <c r="AG57" s="24" t="str">
        <f t="shared" si="42"/>
        <v/>
      </c>
      <c r="AH57" s="23">
        <f>3500</f>
        <v>3500</v>
      </c>
      <c r="AI57" s="22"/>
      <c r="AJ57" s="23">
        <f t="shared" si="43"/>
        <v>3500</v>
      </c>
      <c r="AK57" s="24" t="str">
        <f t="shared" si="44"/>
        <v/>
      </c>
      <c r="AL57" s="23">
        <f>-4973</f>
        <v>-4973</v>
      </c>
      <c r="AM57" s="22"/>
      <c r="AN57" s="23">
        <f t="shared" si="45"/>
        <v>-4973</v>
      </c>
      <c r="AO57" s="24" t="str">
        <f t="shared" si="46"/>
        <v/>
      </c>
      <c r="AP57" s="22"/>
      <c r="AQ57" s="22"/>
      <c r="AR57" s="23">
        <f t="shared" si="47"/>
        <v>0</v>
      </c>
      <c r="AS57" s="24" t="str">
        <f t="shared" si="48"/>
        <v/>
      </c>
      <c r="AT57" s="22"/>
      <c r="AU57" s="22"/>
      <c r="AV57" s="23">
        <f t="shared" si="49"/>
        <v>0</v>
      </c>
      <c r="AW57" s="24" t="str">
        <f t="shared" si="50"/>
        <v/>
      </c>
      <c r="AX57" s="23">
        <f t="shared" si="54"/>
        <v>-1473</v>
      </c>
      <c r="AY57" s="23">
        <f t="shared" si="54"/>
        <v>0</v>
      </c>
      <c r="AZ57" s="23">
        <f t="shared" si="52"/>
        <v>-1473</v>
      </c>
      <c r="BA57" s="24" t="str">
        <f t="shared" si="53"/>
        <v/>
      </c>
    </row>
    <row r="58" spans="1:53" x14ac:dyDescent="0.3">
      <c r="A58" s="21" t="s">
        <v>86</v>
      </c>
      <c r="B58" s="22"/>
      <c r="C58" s="22"/>
      <c r="D58" s="23">
        <f t="shared" si="27"/>
        <v>0</v>
      </c>
      <c r="E58" s="24" t="str">
        <f t="shared" si="28"/>
        <v/>
      </c>
      <c r="F58" s="22"/>
      <c r="G58" s="22"/>
      <c r="H58" s="23">
        <f t="shared" si="29"/>
        <v>0</v>
      </c>
      <c r="I58" s="24" t="str">
        <f t="shared" si="30"/>
        <v/>
      </c>
      <c r="J58" s="22"/>
      <c r="K58" s="22"/>
      <c r="L58" s="23">
        <f t="shared" si="31"/>
        <v>0</v>
      </c>
      <c r="M58" s="24" t="str">
        <f t="shared" si="32"/>
        <v/>
      </c>
      <c r="N58" s="22"/>
      <c r="O58" s="22"/>
      <c r="P58" s="23">
        <f t="shared" si="33"/>
        <v>0</v>
      </c>
      <c r="Q58" s="24" t="str">
        <f t="shared" si="34"/>
        <v/>
      </c>
      <c r="R58" s="23">
        <f>208.79</f>
        <v>208.79</v>
      </c>
      <c r="S58" s="22"/>
      <c r="T58" s="23">
        <f t="shared" si="35"/>
        <v>208.79</v>
      </c>
      <c r="U58" s="24" t="str">
        <f t="shared" si="36"/>
        <v/>
      </c>
      <c r="V58" s="22"/>
      <c r="W58" s="22"/>
      <c r="X58" s="23">
        <f t="shared" si="37"/>
        <v>0</v>
      </c>
      <c r="Y58" s="24" t="str">
        <f t="shared" si="38"/>
        <v/>
      </c>
      <c r="Z58" s="22"/>
      <c r="AA58" s="22"/>
      <c r="AB58" s="23">
        <f t="shared" si="39"/>
        <v>0</v>
      </c>
      <c r="AC58" s="24" t="str">
        <f t="shared" si="40"/>
        <v/>
      </c>
      <c r="AD58" s="22"/>
      <c r="AE58" s="22"/>
      <c r="AF58" s="23">
        <f t="shared" si="41"/>
        <v>0</v>
      </c>
      <c r="AG58" s="24" t="str">
        <f t="shared" si="42"/>
        <v/>
      </c>
      <c r="AH58" s="22"/>
      <c r="AI58" s="22"/>
      <c r="AJ58" s="23">
        <f t="shared" si="43"/>
        <v>0</v>
      </c>
      <c r="AK58" s="24" t="str">
        <f t="shared" si="44"/>
        <v/>
      </c>
      <c r="AL58" s="23">
        <f>-0.1</f>
        <v>-0.1</v>
      </c>
      <c r="AM58" s="22"/>
      <c r="AN58" s="23">
        <f t="shared" si="45"/>
        <v>-0.1</v>
      </c>
      <c r="AO58" s="24" t="str">
        <f t="shared" si="46"/>
        <v/>
      </c>
      <c r="AP58" s="22"/>
      <c r="AQ58" s="22"/>
      <c r="AR58" s="23">
        <f t="shared" si="47"/>
        <v>0</v>
      </c>
      <c r="AS58" s="24" t="str">
        <f t="shared" si="48"/>
        <v/>
      </c>
      <c r="AT58" s="22"/>
      <c r="AU58" s="22"/>
      <c r="AV58" s="23">
        <f t="shared" si="49"/>
        <v>0</v>
      </c>
      <c r="AW58" s="24" t="str">
        <f t="shared" si="50"/>
        <v/>
      </c>
      <c r="AX58" s="23">
        <f t="shared" si="54"/>
        <v>208.69</v>
      </c>
      <c r="AY58" s="23">
        <f t="shared" si="54"/>
        <v>0</v>
      </c>
      <c r="AZ58" s="23">
        <f t="shared" si="52"/>
        <v>208.69</v>
      </c>
      <c r="BA58" s="24" t="str">
        <f t="shared" si="53"/>
        <v/>
      </c>
    </row>
    <row r="59" spans="1:53" x14ac:dyDescent="0.3">
      <c r="A59" s="21" t="s">
        <v>131</v>
      </c>
      <c r="B59" s="25">
        <f>(((B55)+(B56))+(B57))+(B58)</f>
        <v>8563.17</v>
      </c>
      <c r="C59" s="25">
        <f>(((C55)+(C56))+(C57))+(C58)</f>
        <v>1058.3399999999999</v>
      </c>
      <c r="D59" s="25">
        <f t="shared" si="27"/>
        <v>7504.83</v>
      </c>
      <c r="E59" s="26">
        <f t="shared" si="28"/>
        <v>8.0911332841997847</v>
      </c>
      <c r="F59" s="25">
        <f>(((F55)+(F56))+(F57))+(F58)</f>
        <v>896.96</v>
      </c>
      <c r="G59" s="25">
        <f>(((G55)+(G56))+(G57))+(G58)</f>
        <v>1058.3399999999999</v>
      </c>
      <c r="H59" s="25">
        <f t="shared" si="29"/>
        <v>-161.37999999999988</v>
      </c>
      <c r="I59" s="26">
        <f t="shared" si="30"/>
        <v>0.84751592115955188</v>
      </c>
      <c r="J59" s="25">
        <f>(((J55)+(J56))+(J57))+(J58)</f>
        <v>0</v>
      </c>
      <c r="K59" s="25">
        <f>(((K55)+(K56))+(K57))+(K58)</f>
        <v>1058.3399999999999</v>
      </c>
      <c r="L59" s="25">
        <f t="shared" si="31"/>
        <v>-1058.3399999999999</v>
      </c>
      <c r="M59" s="26">
        <f t="shared" si="32"/>
        <v>0</v>
      </c>
      <c r="N59" s="25">
        <f>(((N55)+(N56))+(N57))+(N58)</f>
        <v>0</v>
      </c>
      <c r="O59" s="25">
        <f>(((O55)+(O56))+(O57))+(O58)</f>
        <v>1058.3399999999999</v>
      </c>
      <c r="P59" s="25">
        <f t="shared" si="33"/>
        <v>-1058.3399999999999</v>
      </c>
      <c r="Q59" s="26">
        <f t="shared" si="34"/>
        <v>0</v>
      </c>
      <c r="R59" s="25">
        <f>(((R55)+(R56))+(R57))+(R58)</f>
        <v>208.79</v>
      </c>
      <c r="S59" s="25">
        <f>(((S55)+(S56))+(S57))+(S58)</f>
        <v>1058.3399999999999</v>
      </c>
      <c r="T59" s="25">
        <f t="shared" si="35"/>
        <v>-849.55</v>
      </c>
      <c r="U59" s="26">
        <f t="shared" si="36"/>
        <v>0.1972806470510422</v>
      </c>
      <c r="V59" s="25">
        <f>(((V55)+(V56))+(V57))+(V58)</f>
        <v>0</v>
      </c>
      <c r="W59" s="25">
        <f>(((W55)+(W56))+(W57))+(W58)</f>
        <v>1058.3399999999999</v>
      </c>
      <c r="X59" s="25">
        <f t="shared" si="37"/>
        <v>-1058.3399999999999</v>
      </c>
      <c r="Y59" s="26">
        <f t="shared" si="38"/>
        <v>0</v>
      </c>
      <c r="Z59" s="25">
        <f>(((Z55)+(Z56))+(Z57))+(Z58)</f>
        <v>0</v>
      </c>
      <c r="AA59" s="25">
        <f>(((AA55)+(AA56))+(AA57))+(AA58)</f>
        <v>1058.3399999999999</v>
      </c>
      <c r="AB59" s="25">
        <f t="shared" si="39"/>
        <v>-1058.3399999999999</v>
      </c>
      <c r="AC59" s="26">
        <f t="shared" si="40"/>
        <v>0</v>
      </c>
      <c r="AD59" s="25">
        <f>(((AD55)+(AD56))+(AD57))+(AD58)</f>
        <v>0</v>
      </c>
      <c r="AE59" s="25">
        <f>(((AE55)+(AE56))+(AE57))+(AE58)</f>
        <v>1058.3399999999999</v>
      </c>
      <c r="AF59" s="25">
        <f t="shared" si="41"/>
        <v>-1058.3399999999999</v>
      </c>
      <c r="AG59" s="26">
        <f t="shared" si="42"/>
        <v>0</v>
      </c>
      <c r="AH59" s="25">
        <f>(((AH55)+(AH56))+(AH57))+(AH58)</f>
        <v>3500</v>
      </c>
      <c r="AI59" s="25">
        <f>(((AI55)+(AI56))+(AI57))+(AI58)</f>
        <v>1058.3399999999999</v>
      </c>
      <c r="AJ59" s="25">
        <f t="shared" si="43"/>
        <v>2441.66</v>
      </c>
      <c r="AK59" s="26">
        <f t="shared" si="44"/>
        <v>3.3070657822627894</v>
      </c>
      <c r="AL59" s="25">
        <f>(((AL55)+(AL56))+(AL57))+(AL58)</f>
        <v>-4565.1100000000006</v>
      </c>
      <c r="AM59" s="25">
        <f>(((AM55)+(AM56))+(AM57))+(AM58)</f>
        <v>1058.3399999999999</v>
      </c>
      <c r="AN59" s="25">
        <f t="shared" si="45"/>
        <v>-5623.4500000000007</v>
      </c>
      <c r="AO59" s="26">
        <f t="shared" si="46"/>
        <v>-4.3134625923616241</v>
      </c>
      <c r="AP59" s="25">
        <f>(((AP55)+(AP56))+(AP57))+(AP58)</f>
        <v>0</v>
      </c>
      <c r="AQ59" s="25">
        <f>(((AQ55)+(AQ56))+(AQ57))+(AQ58)</f>
        <v>1058.3399999999999</v>
      </c>
      <c r="AR59" s="25">
        <f t="shared" si="47"/>
        <v>-1058.3399999999999</v>
      </c>
      <c r="AS59" s="26">
        <f t="shared" si="48"/>
        <v>0</v>
      </c>
      <c r="AT59" s="25">
        <f>(((AT55)+(AT56))+(AT57))+(AT58)</f>
        <v>0</v>
      </c>
      <c r="AU59" s="25">
        <f>(((AU55)+(AU56))+(AU57))+(AU58)</f>
        <v>1058.26</v>
      </c>
      <c r="AV59" s="25">
        <f t="shared" si="49"/>
        <v>-1058.26</v>
      </c>
      <c r="AW59" s="26">
        <f t="shared" si="50"/>
        <v>0</v>
      </c>
      <c r="AX59" s="25">
        <f t="shared" si="54"/>
        <v>8603.8100000000013</v>
      </c>
      <c r="AY59" s="25">
        <f t="shared" si="54"/>
        <v>12700</v>
      </c>
      <c r="AZ59" s="25">
        <f t="shared" si="52"/>
        <v>-4096.1899999999987</v>
      </c>
      <c r="BA59" s="26">
        <f t="shared" si="53"/>
        <v>0.67746535433070876</v>
      </c>
    </row>
    <row r="60" spans="1:53" x14ac:dyDescent="0.3">
      <c r="A60" s="21" t="s">
        <v>132</v>
      </c>
      <c r="B60" s="22"/>
      <c r="C60" s="23">
        <f>250</f>
        <v>250</v>
      </c>
      <c r="D60" s="23">
        <f t="shared" si="27"/>
        <v>-250</v>
      </c>
      <c r="E60" s="24">
        <f t="shared" si="28"/>
        <v>0</v>
      </c>
      <c r="F60" s="22"/>
      <c r="G60" s="23">
        <f>250</f>
        <v>250</v>
      </c>
      <c r="H60" s="23">
        <f t="shared" si="29"/>
        <v>-250</v>
      </c>
      <c r="I60" s="24">
        <f t="shared" si="30"/>
        <v>0</v>
      </c>
      <c r="J60" s="22"/>
      <c r="K60" s="23">
        <f>250</f>
        <v>250</v>
      </c>
      <c r="L60" s="23">
        <f t="shared" si="31"/>
        <v>-250</v>
      </c>
      <c r="M60" s="24">
        <f t="shared" si="32"/>
        <v>0</v>
      </c>
      <c r="N60" s="22"/>
      <c r="O60" s="23">
        <f>250</f>
        <v>250</v>
      </c>
      <c r="P60" s="23">
        <f t="shared" si="33"/>
        <v>-250</v>
      </c>
      <c r="Q60" s="24">
        <f t="shared" si="34"/>
        <v>0</v>
      </c>
      <c r="R60" s="22"/>
      <c r="S60" s="23">
        <f>250</f>
        <v>250</v>
      </c>
      <c r="T60" s="23">
        <f t="shared" si="35"/>
        <v>-250</v>
      </c>
      <c r="U60" s="24">
        <f t="shared" si="36"/>
        <v>0</v>
      </c>
      <c r="V60" s="22"/>
      <c r="W60" s="23">
        <f>250</f>
        <v>250</v>
      </c>
      <c r="X60" s="23">
        <f t="shared" si="37"/>
        <v>-250</v>
      </c>
      <c r="Y60" s="24">
        <f t="shared" si="38"/>
        <v>0</v>
      </c>
      <c r="Z60" s="22"/>
      <c r="AA60" s="23">
        <f>250</f>
        <v>250</v>
      </c>
      <c r="AB60" s="23">
        <f t="shared" si="39"/>
        <v>-250</v>
      </c>
      <c r="AC60" s="24">
        <f t="shared" si="40"/>
        <v>0</v>
      </c>
      <c r="AD60" s="22"/>
      <c r="AE60" s="23">
        <f>250</f>
        <v>250</v>
      </c>
      <c r="AF60" s="23">
        <f t="shared" si="41"/>
        <v>-250</v>
      </c>
      <c r="AG60" s="24">
        <f t="shared" si="42"/>
        <v>0</v>
      </c>
      <c r="AH60" s="22"/>
      <c r="AI60" s="23">
        <f>250</f>
        <v>250</v>
      </c>
      <c r="AJ60" s="23">
        <f t="shared" si="43"/>
        <v>-250</v>
      </c>
      <c r="AK60" s="24">
        <f t="shared" si="44"/>
        <v>0</v>
      </c>
      <c r="AL60" s="22"/>
      <c r="AM60" s="23">
        <f>250</f>
        <v>250</v>
      </c>
      <c r="AN60" s="23">
        <f t="shared" si="45"/>
        <v>-250</v>
      </c>
      <c r="AO60" s="24">
        <f t="shared" si="46"/>
        <v>0</v>
      </c>
      <c r="AP60" s="22"/>
      <c r="AQ60" s="23">
        <f>250</f>
        <v>250</v>
      </c>
      <c r="AR60" s="23">
        <f t="shared" si="47"/>
        <v>-250</v>
      </c>
      <c r="AS60" s="24">
        <f t="shared" si="48"/>
        <v>0</v>
      </c>
      <c r="AT60" s="22"/>
      <c r="AU60" s="23">
        <f>250</f>
        <v>250</v>
      </c>
      <c r="AV60" s="23">
        <f t="shared" si="49"/>
        <v>-250</v>
      </c>
      <c r="AW60" s="24">
        <f t="shared" si="50"/>
        <v>0</v>
      </c>
      <c r="AX60" s="23">
        <f t="shared" si="54"/>
        <v>0</v>
      </c>
      <c r="AY60" s="23">
        <f t="shared" si="54"/>
        <v>3000</v>
      </c>
      <c r="AZ60" s="23">
        <f t="shared" si="52"/>
        <v>-3000</v>
      </c>
      <c r="BA60" s="24">
        <f t="shared" si="53"/>
        <v>0</v>
      </c>
    </row>
    <row r="61" spans="1:53" x14ac:dyDescent="0.3">
      <c r="A61" s="21" t="s">
        <v>133</v>
      </c>
      <c r="B61" s="23">
        <f>203.85</f>
        <v>203.85</v>
      </c>
      <c r="C61" s="23">
        <f>83.33</f>
        <v>83.33</v>
      </c>
      <c r="D61" s="23">
        <f t="shared" si="27"/>
        <v>120.52</v>
      </c>
      <c r="E61" s="24">
        <f t="shared" si="28"/>
        <v>2.4462978519140766</v>
      </c>
      <c r="F61" s="23">
        <f>77.73</f>
        <v>77.73</v>
      </c>
      <c r="G61" s="23">
        <f>83.33</f>
        <v>83.33</v>
      </c>
      <c r="H61" s="23">
        <f t="shared" si="29"/>
        <v>-5.5999999999999943</v>
      </c>
      <c r="I61" s="24">
        <f t="shared" si="30"/>
        <v>0.93279731189247572</v>
      </c>
      <c r="J61" s="23">
        <f>13.98</f>
        <v>13.98</v>
      </c>
      <c r="K61" s="23">
        <f>83.33</f>
        <v>83.33</v>
      </c>
      <c r="L61" s="23">
        <f t="shared" si="31"/>
        <v>-69.349999999999994</v>
      </c>
      <c r="M61" s="24">
        <f t="shared" si="32"/>
        <v>0.16776671066842674</v>
      </c>
      <c r="N61" s="23">
        <f>154.95</f>
        <v>154.94999999999999</v>
      </c>
      <c r="O61" s="23">
        <f>83.33</f>
        <v>83.33</v>
      </c>
      <c r="P61" s="23">
        <f t="shared" si="33"/>
        <v>71.61999999999999</v>
      </c>
      <c r="Q61" s="24">
        <f t="shared" si="34"/>
        <v>1.8594743789751589</v>
      </c>
      <c r="R61" s="23">
        <f>254.41</f>
        <v>254.41</v>
      </c>
      <c r="S61" s="23">
        <f>83.33</f>
        <v>83.33</v>
      </c>
      <c r="T61" s="23">
        <f t="shared" si="35"/>
        <v>171.07999999999998</v>
      </c>
      <c r="U61" s="24">
        <f t="shared" si="36"/>
        <v>3.0530421216848675</v>
      </c>
      <c r="V61" s="23">
        <f>72.89</f>
        <v>72.89</v>
      </c>
      <c r="W61" s="23">
        <f>83.33</f>
        <v>83.33</v>
      </c>
      <c r="X61" s="23">
        <f t="shared" si="37"/>
        <v>-10.439999999999998</v>
      </c>
      <c r="Y61" s="24">
        <f t="shared" si="38"/>
        <v>0.874714988599544</v>
      </c>
      <c r="Z61" s="23">
        <f>45.05</f>
        <v>45.05</v>
      </c>
      <c r="AA61" s="23">
        <f>83.33</f>
        <v>83.33</v>
      </c>
      <c r="AB61" s="23">
        <f t="shared" si="39"/>
        <v>-38.28</v>
      </c>
      <c r="AC61" s="24">
        <f t="shared" si="40"/>
        <v>0.54062162486499454</v>
      </c>
      <c r="AD61" s="22"/>
      <c r="AE61" s="23">
        <f>83.33</f>
        <v>83.33</v>
      </c>
      <c r="AF61" s="23">
        <f t="shared" si="41"/>
        <v>-83.33</v>
      </c>
      <c r="AG61" s="24">
        <f t="shared" si="42"/>
        <v>0</v>
      </c>
      <c r="AH61" s="23">
        <f>82.59</f>
        <v>82.59</v>
      </c>
      <c r="AI61" s="23">
        <f>83.33</f>
        <v>83.33</v>
      </c>
      <c r="AJ61" s="23">
        <f t="shared" si="43"/>
        <v>-0.73999999999999488</v>
      </c>
      <c r="AK61" s="24">
        <f t="shared" si="44"/>
        <v>0.99111964478579151</v>
      </c>
      <c r="AL61" s="23">
        <f>54.99</f>
        <v>54.99</v>
      </c>
      <c r="AM61" s="23">
        <f>83.33</f>
        <v>83.33</v>
      </c>
      <c r="AN61" s="23">
        <f t="shared" si="45"/>
        <v>-28.339999999999996</v>
      </c>
      <c r="AO61" s="24">
        <f t="shared" si="46"/>
        <v>0.65990639625585024</v>
      </c>
      <c r="AP61" s="22"/>
      <c r="AQ61" s="23">
        <f>83.33</f>
        <v>83.33</v>
      </c>
      <c r="AR61" s="23">
        <f t="shared" si="47"/>
        <v>-83.33</v>
      </c>
      <c r="AS61" s="24">
        <f t="shared" si="48"/>
        <v>0</v>
      </c>
      <c r="AT61" s="22"/>
      <c r="AU61" s="23">
        <f>83.37</f>
        <v>83.37</v>
      </c>
      <c r="AV61" s="23">
        <f t="shared" si="49"/>
        <v>-83.37</v>
      </c>
      <c r="AW61" s="24">
        <f t="shared" si="50"/>
        <v>0</v>
      </c>
      <c r="AX61" s="23">
        <f t="shared" si="54"/>
        <v>960.43999999999994</v>
      </c>
      <c r="AY61" s="23">
        <f t="shared" si="54"/>
        <v>1000.0000000000001</v>
      </c>
      <c r="AZ61" s="23">
        <f t="shared" si="52"/>
        <v>-39.560000000000173</v>
      </c>
      <c r="BA61" s="24">
        <f t="shared" si="53"/>
        <v>0.96043999999999985</v>
      </c>
    </row>
    <row r="62" spans="1:53" x14ac:dyDescent="0.3">
      <c r="A62" s="21" t="s">
        <v>134</v>
      </c>
      <c r="B62" s="22"/>
      <c r="C62" s="23">
        <f>25</f>
        <v>25</v>
      </c>
      <c r="D62" s="23">
        <f t="shared" si="27"/>
        <v>-25</v>
      </c>
      <c r="E62" s="24">
        <f t="shared" si="28"/>
        <v>0</v>
      </c>
      <c r="F62" s="23">
        <f>28</f>
        <v>28</v>
      </c>
      <c r="G62" s="23">
        <f>25</f>
        <v>25</v>
      </c>
      <c r="H62" s="23">
        <f t="shared" si="29"/>
        <v>3</v>
      </c>
      <c r="I62" s="24">
        <f t="shared" si="30"/>
        <v>1.1200000000000001</v>
      </c>
      <c r="J62" s="23">
        <f>10</f>
        <v>10</v>
      </c>
      <c r="K62" s="23">
        <f>25</f>
        <v>25</v>
      </c>
      <c r="L62" s="23">
        <f t="shared" si="31"/>
        <v>-15</v>
      </c>
      <c r="M62" s="24">
        <f t="shared" si="32"/>
        <v>0.4</v>
      </c>
      <c r="N62" s="23">
        <f>17</f>
        <v>17</v>
      </c>
      <c r="O62" s="23">
        <f>25</f>
        <v>25</v>
      </c>
      <c r="P62" s="23">
        <f t="shared" si="33"/>
        <v>-8</v>
      </c>
      <c r="Q62" s="24">
        <f t="shared" si="34"/>
        <v>0.68</v>
      </c>
      <c r="R62" s="22"/>
      <c r="S62" s="23">
        <f>25</f>
        <v>25</v>
      </c>
      <c r="T62" s="23">
        <f t="shared" si="35"/>
        <v>-25</v>
      </c>
      <c r="U62" s="24">
        <f t="shared" si="36"/>
        <v>0</v>
      </c>
      <c r="V62" s="22"/>
      <c r="W62" s="23">
        <f>25</f>
        <v>25</v>
      </c>
      <c r="X62" s="23">
        <f t="shared" si="37"/>
        <v>-25</v>
      </c>
      <c r="Y62" s="24">
        <f t="shared" si="38"/>
        <v>0</v>
      </c>
      <c r="Z62" s="23">
        <f>9.34</f>
        <v>9.34</v>
      </c>
      <c r="AA62" s="23">
        <f>25</f>
        <v>25</v>
      </c>
      <c r="AB62" s="23">
        <f t="shared" si="39"/>
        <v>-15.66</v>
      </c>
      <c r="AC62" s="24">
        <f t="shared" si="40"/>
        <v>0.37359999999999999</v>
      </c>
      <c r="AD62" s="23">
        <f>19.57</f>
        <v>19.57</v>
      </c>
      <c r="AE62" s="23">
        <f>25</f>
        <v>25</v>
      </c>
      <c r="AF62" s="23">
        <f t="shared" si="41"/>
        <v>-5.43</v>
      </c>
      <c r="AG62" s="24">
        <f t="shared" si="42"/>
        <v>0.78280000000000005</v>
      </c>
      <c r="AH62" s="22"/>
      <c r="AI62" s="23">
        <f>25</f>
        <v>25</v>
      </c>
      <c r="AJ62" s="23">
        <f t="shared" si="43"/>
        <v>-25</v>
      </c>
      <c r="AK62" s="24">
        <f t="shared" si="44"/>
        <v>0</v>
      </c>
      <c r="AL62" s="23">
        <f>15</f>
        <v>15</v>
      </c>
      <c r="AM62" s="23">
        <f>25</f>
        <v>25</v>
      </c>
      <c r="AN62" s="23">
        <f t="shared" si="45"/>
        <v>-10</v>
      </c>
      <c r="AO62" s="24">
        <f t="shared" si="46"/>
        <v>0.6</v>
      </c>
      <c r="AP62" s="22"/>
      <c r="AQ62" s="23">
        <f>25</f>
        <v>25</v>
      </c>
      <c r="AR62" s="23">
        <f t="shared" si="47"/>
        <v>-25</v>
      </c>
      <c r="AS62" s="24">
        <f t="shared" si="48"/>
        <v>0</v>
      </c>
      <c r="AT62" s="22"/>
      <c r="AU62" s="23">
        <f>25</f>
        <v>25</v>
      </c>
      <c r="AV62" s="23">
        <f t="shared" si="49"/>
        <v>-25</v>
      </c>
      <c r="AW62" s="24">
        <f t="shared" si="50"/>
        <v>0</v>
      </c>
      <c r="AX62" s="23">
        <f t="shared" si="54"/>
        <v>98.91</v>
      </c>
      <c r="AY62" s="23">
        <f t="shared" si="54"/>
        <v>300</v>
      </c>
      <c r="AZ62" s="23">
        <f t="shared" si="52"/>
        <v>-201.09</v>
      </c>
      <c r="BA62" s="24">
        <f t="shared" si="53"/>
        <v>0.32969999999999999</v>
      </c>
    </row>
    <row r="63" spans="1:53" x14ac:dyDescent="0.3">
      <c r="A63" s="21" t="s">
        <v>135</v>
      </c>
      <c r="B63" s="22"/>
      <c r="C63" s="22"/>
      <c r="D63" s="23">
        <f t="shared" si="27"/>
        <v>0</v>
      </c>
      <c r="E63" s="24" t="str">
        <f t="shared" si="28"/>
        <v/>
      </c>
      <c r="F63" s="22"/>
      <c r="G63" s="22"/>
      <c r="H63" s="23">
        <f t="shared" si="29"/>
        <v>0</v>
      </c>
      <c r="I63" s="24" t="str">
        <f t="shared" si="30"/>
        <v/>
      </c>
      <c r="J63" s="22"/>
      <c r="K63" s="22"/>
      <c r="L63" s="23">
        <f t="shared" si="31"/>
        <v>0</v>
      </c>
      <c r="M63" s="24" t="str">
        <f t="shared" si="32"/>
        <v/>
      </c>
      <c r="N63" s="22"/>
      <c r="O63" s="22"/>
      <c r="P63" s="23">
        <f t="shared" si="33"/>
        <v>0</v>
      </c>
      <c r="Q63" s="24" t="str">
        <f t="shared" si="34"/>
        <v/>
      </c>
      <c r="R63" s="22"/>
      <c r="S63" s="22"/>
      <c r="T63" s="23">
        <f t="shared" si="35"/>
        <v>0</v>
      </c>
      <c r="U63" s="24" t="str">
        <f t="shared" si="36"/>
        <v/>
      </c>
      <c r="V63" s="22"/>
      <c r="W63" s="22"/>
      <c r="X63" s="23">
        <f t="shared" si="37"/>
        <v>0</v>
      </c>
      <c r="Y63" s="24" t="str">
        <f t="shared" si="38"/>
        <v/>
      </c>
      <c r="Z63" s="22"/>
      <c r="AA63" s="22"/>
      <c r="AB63" s="23">
        <f t="shared" si="39"/>
        <v>0</v>
      </c>
      <c r="AC63" s="24" t="str">
        <f t="shared" si="40"/>
        <v/>
      </c>
      <c r="AD63" s="22"/>
      <c r="AE63" s="22"/>
      <c r="AF63" s="23">
        <f t="shared" si="41"/>
        <v>0</v>
      </c>
      <c r="AG63" s="24" t="str">
        <f t="shared" si="42"/>
        <v/>
      </c>
      <c r="AH63" s="22"/>
      <c r="AI63" s="22"/>
      <c r="AJ63" s="23">
        <f t="shared" si="43"/>
        <v>0</v>
      </c>
      <c r="AK63" s="24" t="str">
        <f t="shared" si="44"/>
        <v/>
      </c>
      <c r="AL63" s="22"/>
      <c r="AM63" s="22"/>
      <c r="AN63" s="23">
        <f t="shared" si="45"/>
        <v>0</v>
      </c>
      <c r="AO63" s="24" t="str">
        <f t="shared" si="46"/>
        <v/>
      </c>
      <c r="AP63" s="22"/>
      <c r="AQ63" s="22"/>
      <c r="AR63" s="23">
        <f t="shared" si="47"/>
        <v>0</v>
      </c>
      <c r="AS63" s="24" t="str">
        <f t="shared" si="48"/>
        <v/>
      </c>
      <c r="AT63" s="22"/>
      <c r="AU63" s="22"/>
      <c r="AV63" s="23">
        <f t="shared" si="49"/>
        <v>0</v>
      </c>
      <c r="AW63" s="24" t="str">
        <f t="shared" si="50"/>
        <v/>
      </c>
      <c r="AX63" s="23">
        <f t="shared" si="54"/>
        <v>0</v>
      </c>
      <c r="AY63" s="23">
        <f t="shared" si="54"/>
        <v>0</v>
      </c>
      <c r="AZ63" s="23">
        <f t="shared" si="52"/>
        <v>0</v>
      </c>
      <c r="BA63" s="24" t="str">
        <f t="shared" si="53"/>
        <v/>
      </c>
    </row>
    <row r="64" spans="1:53" x14ac:dyDescent="0.3">
      <c r="A64" s="21" t="s">
        <v>136</v>
      </c>
      <c r="B64" s="22"/>
      <c r="C64" s="23">
        <f>250</f>
        <v>250</v>
      </c>
      <c r="D64" s="23">
        <f t="shared" si="27"/>
        <v>-250</v>
      </c>
      <c r="E64" s="24">
        <f t="shared" si="28"/>
        <v>0</v>
      </c>
      <c r="F64" s="22"/>
      <c r="G64" s="23">
        <f>250</f>
        <v>250</v>
      </c>
      <c r="H64" s="23">
        <f t="shared" si="29"/>
        <v>-250</v>
      </c>
      <c r="I64" s="24">
        <f t="shared" si="30"/>
        <v>0</v>
      </c>
      <c r="J64" s="22"/>
      <c r="K64" s="23">
        <f>250</f>
        <v>250</v>
      </c>
      <c r="L64" s="23">
        <f t="shared" si="31"/>
        <v>-250</v>
      </c>
      <c r="M64" s="24">
        <f t="shared" si="32"/>
        <v>0</v>
      </c>
      <c r="N64" s="22"/>
      <c r="O64" s="23">
        <f>250</f>
        <v>250</v>
      </c>
      <c r="P64" s="23">
        <f t="shared" si="33"/>
        <v>-250</v>
      </c>
      <c r="Q64" s="24">
        <f t="shared" si="34"/>
        <v>0</v>
      </c>
      <c r="R64" s="22"/>
      <c r="S64" s="23">
        <f>250</f>
        <v>250</v>
      </c>
      <c r="T64" s="23">
        <f t="shared" si="35"/>
        <v>-250</v>
      </c>
      <c r="U64" s="24">
        <f t="shared" si="36"/>
        <v>0</v>
      </c>
      <c r="V64" s="22"/>
      <c r="W64" s="23">
        <f>250</f>
        <v>250</v>
      </c>
      <c r="X64" s="23">
        <f t="shared" si="37"/>
        <v>-250</v>
      </c>
      <c r="Y64" s="24">
        <f t="shared" si="38"/>
        <v>0</v>
      </c>
      <c r="Z64" s="22"/>
      <c r="AA64" s="23">
        <f>250</f>
        <v>250</v>
      </c>
      <c r="AB64" s="23">
        <f t="shared" si="39"/>
        <v>-250</v>
      </c>
      <c r="AC64" s="24">
        <f t="shared" si="40"/>
        <v>0</v>
      </c>
      <c r="AD64" s="22"/>
      <c r="AE64" s="23">
        <f>250</f>
        <v>250</v>
      </c>
      <c r="AF64" s="23">
        <f t="shared" si="41"/>
        <v>-250</v>
      </c>
      <c r="AG64" s="24">
        <f t="shared" si="42"/>
        <v>0</v>
      </c>
      <c r="AH64" s="23">
        <f>700</f>
        <v>700</v>
      </c>
      <c r="AI64" s="23">
        <f>250</f>
        <v>250</v>
      </c>
      <c r="AJ64" s="23">
        <f t="shared" si="43"/>
        <v>450</v>
      </c>
      <c r="AK64" s="24">
        <f t="shared" si="44"/>
        <v>2.8</v>
      </c>
      <c r="AL64" s="22"/>
      <c r="AM64" s="23">
        <f>250</f>
        <v>250</v>
      </c>
      <c r="AN64" s="23">
        <f t="shared" si="45"/>
        <v>-250</v>
      </c>
      <c r="AO64" s="24">
        <f t="shared" si="46"/>
        <v>0</v>
      </c>
      <c r="AP64" s="22"/>
      <c r="AQ64" s="23">
        <f>250</f>
        <v>250</v>
      </c>
      <c r="AR64" s="23">
        <f t="shared" si="47"/>
        <v>-250</v>
      </c>
      <c r="AS64" s="24">
        <f t="shared" si="48"/>
        <v>0</v>
      </c>
      <c r="AT64" s="22"/>
      <c r="AU64" s="23">
        <f>250</f>
        <v>250</v>
      </c>
      <c r="AV64" s="23">
        <f t="shared" si="49"/>
        <v>-250</v>
      </c>
      <c r="AW64" s="24">
        <f t="shared" si="50"/>
        <v>0</v>
      </c>
      <c r="AX64" s="23">
        <f t="shared" si="54"/>
        <v>700</v>
      </c>
      <c r="AY64" s="23">
        <f t="shared" si="54"/>
        <v>3000</v>
      </c>
      <c r="AZ64" s="23">
        <f t="shared" si="52"/>
        <v>-2300</v>
      </c>
      <c r="BA64" s="24">
        <f t="shared" si="53"/>
        <v>0.23333333333333334</v>
      </c>
    </row>
    <row r="65" spans="1:53" x14ac:dyDescent="0.3">
      <c r="A65" s="21" t="s">
        <v>137</v>
      </c>
      <c r="B65" s="22"/>
      <c r="C65" s="23">
        <f>833.33</f>
        <v>833.33</v>
      </c>
      <c r="D65" s="23">
        <f t="shared" si="27"/>
        <v>-833.33</v>
      </c>
      <c r="E65" s="24">
        <f t="shared" si="28"/>
        <v>0</v>
      </c>
      <c r="F65" s="23">
        <f>1390</f>
        <v>1390</v>
      </c>
      <c r="G65" s="23">
        <f>833.33</f>
        <v>833.33</v>
      </c>
      <c r="H65" s="23">
        <f t="shared" si="29"/>
        <v>556.66999999999996</v>
      </c>
      <c r="I65" s="24">
        <f t="shared" si="30"/>
        <v>1.668006672026688</v>
      </c>
      <c r="J65" s="23">
        <f>695</f>
        <v>695</v>
      </c>
      <c r="K65" s="23">
        <f>833.33</f>
        <v>833.33</v>
      </c>
      <c r="L65" s="23">
        <f t="shared" si="31"/>
        <v>-138.33000000000004</v>
      </c>
      <c r="M65" s="24">
        <f t="shared" si="32"/>
        <v>0.83400333601334398</v>
      </c>
      <c r="N65" s="22"/>
      <c r="O65" s="23">
        <f>833.33</f>
        <v>833.33</v>
      </c>
      <c r="P65" s="23">
        <f t="shared" si="33"/>
        <v>-833.33</v>
      </c>
      <c r="Q65" s="24">
        <f t="shared" si="34"/>
        <v>0</v>
      </c>
      <c r="R65" s="23">
        <f>1390</f>
        <v>1390</v>
      </c>
      <c r="S65" s="23">
        <f>833.33</f>
        <v>833.33</v>
      </c>
      <c r="T65" s="23">
        <f t="shared" si="35"/>
        <v>556.66999999999996</v>
      </c>
      <c r="U65" s="24">
        <f t="shared" si="36"/>
        <v>1.668006672026688</v>
      </c>
      <c r="V65" s="23">
        <f>695</f>
        <v>695</v>
      </c>
      <c r="W65" s="23">
        <f>833.33</f>
        <v>833.33</v>
      </c>
      <c r="X65" s="23">
        <f t="shared" si="37"/>
        <v>-138.33000000000004</v>
      </c>
      <c r="Y65" s="24">
        <f t="shared" si="38"/>
        <v>0.83400333601334398</v>
      </c>
      <c r="Z65" s="22"/>
      <c r="AA65" s="23">
        <f>833.33</f>
        <v>833.33</v>
      </c>
      <c r="AB65" s="23">
        <f t="shared" si="39"/>
        <v>-833.33</v>
      </c>
      <c r="AC65" s="24">
        <f t="shared" si="40"/>
        <v>0</v>
      </c>
      <c r="AD65" s="23">
        <f>695</f>
        <v>695</v>
      </c>
      <c r="AE65" s="23">
        <f>833.33</f>
        <v>833.33</v>
      </c>
      <c r="AF65" s="23">
        <f t="shared" si="41"/>
        <v>-138.33000000000004</v>
      </c>
      <c r="AG65" s="24">
        <f t="shared" si="42"/>
        <v>0.83400333601334398</v>
      </c>
      <c r="AH65" s="23">
        <f>695</f>
        <v>695</v>
      </c>
      <c r="AI65" s="23">
        <f>833.33</f>
        <v>833.33</v>
      </c>
      <c r="AJ65" s="23">
        <f t="shared" si="43"/>
        <v>-138.33000000000004</v>
      </c>
      <c r="AK65" s="24">
        <f t="shared" si="44"/>
        <v>0.83400333601334398</v>
      </c>
      <c r="AL65" s="23">
        <f>695</f>
        <v>695</v>
      </c>
      <c r="AM65" s="23">
        <f>833.33</f>
        <v>833.33</v>
      </c>
      <c r="AN65" s="23">
        <f t="shared" si="45"/>
        <v>-138.33000000000004</v>
      </c>
      <c r="AO65" s="24">
        <f t="shared" si="46"/>
        <v>0.83400333601334398</v>
      </c>
      <c r="AP65" s="22"/>
      <c r="AQ65" s="23">
        <f>833.33</f>
        <v>833.33</v>
      </c>
      <c r="AR65" s="23">
        <f t="shared" si="47"/>
        <v>-833.33</v>
      </c>
      <c r="AS65" s="24">
        <f t="shared" si="48"/>
        <v>0</v>
      </c>
      <c r="AT65" s="22"/>
      <c r="AU65" s="23">
        <f>833.37</f>
        <v>833.37</v>
      </c>
      <c r="AV65" s="23">
        <f t="shared" si="49"/>
        <v>-833.37</v>
      </c>
      <c r="AW65" s="24">
        <f t="shared" si="50"/>
        <v>0</v>
      </c>
      <c r="AX65" s="23">
        <f t="shared" si="54"/>
        <v>6255</v>
      </c>
      <c r="AY65" s="23">
        <f t="shared" si="54"/>
        <v>10000.000000000002</v>
      </c>
      <c r="AZ65" s="23">
        <f t="shared" si="52"/>
        <v>-3745.0000000000018</v>
      </c>
      <c r="BA65" s="24">
        <f t="shared" si="53"/>
        <v>0.62549999999999983</v>
      </c>
    </row>
    <row r="66" spans="1:53" x14ac:dyDescent="0.3">
      <c r="A66" s="21" t="s">
        <v>138</v>
      </c>
      <c r="B66" s="23">
        <f>2775.5</f>
        <v>2775.5</v>
      </c>
      <c r="C66" s="23">
        <f>1125</f>
        <v>1125</v>
      </c>
      <c r="D66" s="23">
        <f t="shared" si="27"/>
        <v>1650.5</v>
      </c>
      <c r="E66" s="24">
        <f t="shared" si="28"/>
        <v>2.467111111111111</v>
      </c>
      <c r="F66" s="23">
        <f>640</f>
        <v>640</v>
      </c>
      <c r="G66" s="23">
        <f>1125</f>
        <v>1125</v>
      </c>
      <c r="H66" s="23">
        <f t="shared" si="29"/>
        <v>-485</v>
      </c>
      <c r="I66" s="24">
        <f t="shared" si="30"/>
        <v>0.56888888888888889</v>
      </c>
      <c r="J66" s="22"/>
      <c r="K66" s="23">
        <f>1125</f>
        <v>1125</v>
      </c>
      <c r="L66" s="23">
        <f t="shared" si="31"/>
        <v>-1125</v>
      </c>
      <c r="M66" s="24">
        <f t="shared" si="32"/>
        <v>0</v>
      </c>
      <c r="N66" s="22"/>
      <c r="O66" s="23">
        <f>1125</f>
        <v>1125</v>
      </c>
      <c r="P66" s="23">
        <f t="shared" si="33"/>
        <v>-1125</v>
      </c>
      <c r="Q66" s="24">
        <f t="shared" si="34"/>
        <v>0</v>
      </c>
      <c r="R66" s="23">
        <f>450</f>
        <v>450</v>
      </c>
      <c r="S66" s="23">
        <f>1125</f>
        <v>1125</v>
      </c>
      <c r="T66" s="23">
        <f t="shared" si="35"/>
        <v>-675</v>
      </c>
      <c r="U66" s="24">
        <f t="shared" si="36"/>
        <v>0.4</v>
      </c>
      <c r="V66" s="23">
        <f>90</f>
        <v>90</v>
      </c>
      <c r="W66" s="23">
        <f>1125</f>
        <v>1125</v>
      </c>
      <c r="X66" s="23">
        <f t="shared" si="37"/>
        <v>-1035</v>
      </c>
      <c r="Y66" s="24">
        <f t="shared" si="38"/>
        <v>0.08</v>
      </c>
      <c r="Z66" s="22"/>
      <c r="AA66" s="23">
        <f>1125</f>
        <v>1125</v>
      </c>
      <c r="AB66" s="23">
        <f t="shared" si="39"/>
        <v>-1125</v>
      </c>
      <c r="AC66" s="24">
        <f t="shared" si="40"/>
        <v>0</v>
      </c>
      <c r="AD66" s="22"/>
      <c r="AE66" s="23">
        <f>1125</f>
        <v>1125</v>
      </c>
      <c r="AF66" s="23">
        <f t="shared" si="41"/>
        <v>-1125</v>
      </c>
      <c r="AG66" s="24">
        <f t="shared" si="42"/>
        <v>0</v>
      </c>
      <c r="AH66" s="22"/>
      <c r="AI66" s="23">
        <f>1125</f>
        <v>1125</v>
      </c>
      <c r="AJ66" s="23">
        <f t="shared" si="43"/>
        <v>-1125</v>
      </c>
      <c r="AK66" s="24">
        <f t="shared" si="44"/>
        <v>0</v>
      </c>
      <c r="AL66" s="22"/>
      <c r="AM66" s="23">
        <f>1125</f>
        <v>1125</v>
      </c>
      <c r="AN66" s="23">
        <f t="shared" si="45"/>
        <v>-1125</v>
      </c>
      <c r="AO66" s="24">
        <f t="shared" si="46"/>
        <v>0</v>
      </c>
      <c r="AP66" s="22"/>
      <c r="AQ66" s="23">
        <f>1125</f>
        <v>1125</v>
      </c>
      <c r="AR66" s="23">
        <f t="shared" si="47"/>
        <v>-1125</v>
      </c>
      <c r="AS66" s="24">
        <f t="shared" si="48"/>
        <v>0</v>
      </c>
      <c r="AT66" s="22"/>
      <c r="AU66" s="23">
        <f>1125</f>
        <v>1125</v>
      </c>
      <c r="AV66" s="23">
        <f t="shared" si="49"/>
        <v>-1125</v>
      </c>
      <c r="AW66" s="24">
        <f t="shared" si="50"/>
        <v>0</v>
      </c>
      <c r="AX66" s="23">
        <f t="shared" si="54"/>
        <v>3955.5</v>
      </c>
      <c r="AY66" s="23">
        <f t="shared" si="54"/>
        <v>13500</v>
      </c>
      <c r="AZ66" s="23">
        <f t="shared" si="52"/>
        <v>-9544.5</v>
      </c>
      <c r="BA66" s="24">
        <f t="shared" si="53"/>
        <v>0.29299999999999998</v>
      </c>
    </row>
    <row r="67" spans="1:53" x14ac:dyDescent="0.3">
      <c r="A67" s="21" t="s">
        <v>139</v>
      </c>
      <c r="B67" s="23">
        <f>172.32</f>
        <v>172.32</v>
      </c>
      <c r="C67" s="23">
        <f>2083.33</f>
        <v>2083.33</v>
      </c>
      <c r="D67" s="23">
        <f t="shared" si="27"/>
        <v>-1911.01</v>
      </c>
      <c r="E67" s="24">
        <f t="shared" si="28"/>
        <v>8.2713732341971741E-2</v>
      </c>
      <c r="F67" s="23">
        <f>150</f>
        <v>150</v>
      </c>
      <c r="G67" s="23">
        <f>2083.33</f>
        <v>2083.33</v>
      </c>
      <c r="H67" s="23">
        <f t="shared" si="29"/>
        <v>-1933.33</v>
      </c>
      <c r="I67" s="24">
        <f t="shared" si="30"/>
        <v>7.2000115200184317E-2</v>
      </c>
      <c r="J67" s="23">
        <f>422</f>
        <v>422</v>
      </c>
      <c r="K67" s="23">
        <f>2083.33</f>
        <v>2083.33</v>
      </c>
      <c r="L67" s="23">
        <f t="shared" si="31"/>
        <v>-1661.33</v>
      </c>
      <c r="M67" s="24">
        <f t="shared" si="32"/>
        <v>0.20256032409651856</v>
      </c>
      <c r="N67" s="23">
        <f>2612.75</f>
        <v>2612.75</v>
      </c>
      <c r="O67" s="23">
        <f>2083.33</f>
        <v>2083.33</v>
      </c>
      <c r="P67" s="23">
        <f t="shared" si="33"/>
        <v>529.42000000000007</v>
      </c>
      <c r="Q67" s="24">
        <f t="shared" si="34"/>
        <v>1.2541220065952106</v>
      </c>
      <c r="R67" s="22"/>
      <c r="S67" s="23">
        <f>2083.33</f>
        <v>2083.33</v>
      </c>
      <c r="T67" s="23">
        <f t="shared" si="35"/>
        <v>-2083.33</v>
      </c>
      <c r="U67" s="24">
        <f t="shared" si="36"/>
        <v>0</v>
      </c>
      <c r="V67" s="23">
        <f>510.07</f>
        <v>510.07</v>
      </c>
      <c r="W67" s="23">
        <f>2083.33</f>
        <v>2083.33</v>
      </c>
      <c r="X67" s="23">
        <f t="shared" si="37"/>
        <v>-1573.26</v>
      </c>
      <c r="Y67" s="24">
        <f t="shared" si="38"/>
        <v>0.24483399173438677</v>
      </c>
      <c r="Z67" s="23">
        <f>122.31</f>
        <v>122.31</v>
      </c>
      <c r="AA67" s="23">
        <f>2083.33</f>
        <v>2083.33</v>
      </c>
      <c r="AB67" s="23">
        <f t="shared" si="39"/>
        <v>-1961.02</v>
      </c>
      <c r="AC67" s="24">
        <f t="shared" si="40"/>
        <v>5.8708893934230295E-2</v>
      </c>
      <c r="AD67" s="23">
        <f>24</f>
        <v>24</v>
      </c>
      <c r="AE67" s="23">
        <f>2083.33</f>
        <v>2083.33</v>
      </c>
      <c r="AF67" s="23">
        <f t="shared" si="41"/>
        <v>-2059.33</v>
      </c>
      <c r="AG67" s="24">
        <f t="shared" si="42"/>
        <v>1.1520018432029492E-2</v>
      </c>
      <c r="AH67" s="22"/>
      <c r="AI67" s="23">
        <f>2083.33</f>
        <v>2083.33</v>
      </c>
      <c r="AJ67" s="23">
        <f t="shared" si="43"/>
        <v>-2083.33</v>
      </c>
      <c r="AK67" s="24">
        <f t="shared" si="44"/>
        <v>0</v>
      </c>
      <c r="AL67" s="23">
        <f>2680</f>
        <v>2680</v>
      </c>
      <c r="AM67" s="23">
        <f>2083.33</f>
        <v>2083.33</v>
      </c>
      <c r="AN67" s="23">
        <f t="shared" si="45"/>
        <v>596.67000000000007</v>
      </c>
      <c r="AO67" s="24">
        <f t="shared" si="46"/>
        <v>1.2864020582432933</v>
      </c>
      <c r="AP67" s="23">
        <f>2220</f>
        <v>2220</v>
      </c>
      <c r="AQ67" s="23">
        <f>2083.33</f>
        <v>2083.33</v>
      </c>
      <c r="AR67" s="23">
        <f t="shared" si="47"/>
        <v>136.67000000000007</v>
      </c>
      <c r="AS67" s="24">
        <f t="shared" si="48"/>
        <v>1.065601704962728</v>
      </c>
      <c r="AT67" s="22"/>
      <c r="AU67" s="23">
        <f>2083.37</f>
        <v>2083.37</v>
      </c>
      <c r="AV67" s="23">
        <f t="shared" si="49"/>
        <v>-2083.37</v>
      </c>
      <c r="AW67" s="24">
        <f t="shared" si="50"/>
        <v>0</v>
      </c>
      <c r="AX67" s="23">
        <f t="shared" si="54"/>
        <v>8913.4500000000007</v>
      </c>
      <c r="AY67" s="23">
        <f t="shared" si="54"/>
        <v>25000.000000000004</v>
      </c>
      <c r="AZ67" s="23">
        <f t="shared" si="52"/>
        <v>-16086.550000000003</v>
      </c>
      <c r="BA67" s="24">
        <f t="shared" si="53"/>
        <v>0.35653799999999997</v>
      </c>
    </row>
    <row r="68" spans="1:53" x14ac:dyDescent="0.3">
      <c r="A68" s="21" t="s">
        <v>140</v>
      </c>
      <c r="B68" s="23">
        <f>307.07</f>
        <v>307.07</v>
      </c>
      <c r="C68" s="23">
        <f>291.67</f>
        <v>291.67</v>
      </c>
      <c r="D68" s="23">
        <f t="shared" si="27"/>
        <v>15.399999999999977</v>
      </c>
      <c r="E68" s="24">
        <f t="shared" si="28"/>
        <v>1.0527993965783247</v>
      </c>
      <c r="F68" s="22"/>
      <c r="G68" s="23">
        <f>291.67</f>
        <v>291.67</v>
      </c>
      <c r="H68" s="23">
        <f t="shared" si="29"/>
        <v>-291.67</v>
      </c>
      <c r="I68" s="24">
        <f t="shared" si="30"/>
        <v>0</v>
      </c>
      <c r="J68" s="22"/>
      <c r="K68" s="23">
        <f>291.67</f>
        <v>291.67</v>
      </c>
      <c r="L68" s="23">
        <f t="shared" si="31"/>
        <v>-291.67</v>
      </c>
      <c r="M68" s="24">
        <f t="shared" si="32"/>
        <v>0</v>
      </c>
      <c r="N68" s="23">
        <f>307.07</f>
        <v>307.07</v>
      </c>
      <c r="O68" s="23">
        <f>291.67</f>
        <v>291.67</v>
      </c>
      <c r="P68" s="23">
        <f t="shared" si="33"/>
        <v>15.399999999999977</v>
      </c>
      <c r="Q68" s="24">
        <f t="shared" si="34"/>
        <v>1.0527993965783247</v>
      </c>
      <c r="R68" s="22"/>
      <c r="S68" s="23">
        <f>291.67</f>
        <v>291.67</v>
      </c>
      <c r="T68" s="23">
        <f t="shared" si="35"/>
        <v>-291.67</v>
      </c>
      <c r="U68" s="24">
        <f t="shared" si="36"/>
        <v>0</v>
      </c>
      <c r="V68" s="23">
        <f>307.07</f>
        <v>307.07</v>
      </c>
      <c r="W68" s="23">
        <f>291.67</f>
        <v>291.67</v>
      </c>
      <c r="X68" s="23">
        <f t="shared" si="37"/>
        <v>15.399999999999977</v>
      </c>
      <c r="Y68" s="24">
        <f t="shared" si="38"/>
        <v>1.0527993965783247</v>
      </c>
      <c r="Z68" s="22"/>
      <c r="AA68" s="23">
        <f>291.67</f>
        <v>291.67</v>
      </c>
      <c r="AB68" s="23">
        <f t="shared" si="39"/>
        <v>-291.67</v>
      </c>
      <c r="AC68" s="24">
        <f t="shared" si="40"/>
        <v>0</v>
      </c>
      <c r="AD68" s="22"/>
      <c r="AE68" s="23">
        <f>291.67</f>
        <v>291.67</v>
      </c>
      <c r="AF68" s="23">
        <f t="shared" si="41"/>
        <v>-291.67</v>
      </c>
      <c r="AG68" s="24">
        <f t="shared" si="42"/>
        <v>0</v>
      </c>
      <c r="AH68" s="23">
        <f>330.1</f>
        <v>330.1</v>
      </c>
      <c r="AI68" s="23">
        <f>291.67</f>
        <v>291.67</v>
      </c>
      <c r="AJ68" s="23">
        <f t="shared" si="43"/>
        <v>38.430000000000007</v>
      </c>
      <c r="AK68" s="24">
        <f t="shared" si="44"/>
        <v>1.1317584941886378</v>
      </c>
      <c r="AL68" s="22"/>
      <c r="AM68" s="23">
        <f>291.67</f>
        <v>291.67</v>
      </c>
      <c r="AN68" s="23">
        <f t="shared" si="45"/>
        <v>-291.67</v>
      </c>
      <c r="AO68" s="24">
        <f t="shared" si="46"/>
        <v>0</v>
      </c>
      <c r="AP68" s="22"/>
      <c r="AQ68" s="23">
        <f>291.67</f>
        <v>291.67</v>
      </c>
      <c r="AR68" s="23">
        <f t="shared" si="47"/>
        <v>-291.67</v>
      </c>
      <c r="AS68" s="24">
        <f t="shared" si="48"/>
        <v>0</v>
      </c>
      <c r="AT68" s="22"/>
      <c r="AU68" s="23">
        <f>291.63</f>
        <v>291.63</v>
      </c>
      <c r="AV68" s="23">
        <f t="shared" si="49"/>
        <v>-291.63</v>
      </c>
      <c r="AW68" s="24">
        <f t="shared" si="50"/>
        <v>0</v>
      </c>
      <c r="AX68" s="23">
        <f t="shared" si="54"/>
        <v>1251.31</v>
      </c>
      <c r="AY68" s="23">
        <f t="shared" si="54"/>
        <v>3500.0000000000005</v>
      </c>
      <c r="AZ68" s="23">
        <f t="shared" si="52"/>
        <v>-2248.6900000000005</v>
      </c>
      <c r="BA68" s="24">
        <f t="shared" si="53"/>
        <v>0.35751714285714281</v>
      </c>
    </row>
    <row r="69" spans="1:53" x14ac:dyDescent="0.3">
      <c r="A69" s="21" t="s">
        <v>141</v>
      </c>
      <c r="B69" s="22"/>
      <c r="C69" s="23">
        <f>183.33</f>
        <v>183.33</v>
      </c>
      <c r="D69" s="23">
        <f t="shared" si="27"/>
        <v>-183.33</v>
      </c>
      <c r="E69" s="24">
        <f t="shared" si="28"/>
        <v>0</v>
      </c>
      <c r="F69" s="22"/>
      <c r="G69" s="23">
        <f>183.33</f>
        <v>183.33</v>
      </c>
      <c r="H69" s="23">
        <f t="shared" si="29"/>
        <v>-183.33</v>
      </c>
      <c r="I69" s="24">
        <f t="shared" si="30"/>
        <v>0</v>
      </c>
      <c r="J69" s="22"/>
      <c r="K69" s="23">
        <f>183.33</f>
        <v>183.33</v>
      </c>
      <c r="L69" s="23">
        <f t="shared" si="31"/>
        <v>-183.33</v>
      </c>
      <c r="M69" s="24">
        <f t="shared" si="32"/>
        <v>0</v>
      </c>
      <c r="N69" s="23">
        <f>390.2</f>
        <v>390.2</v>
      </c>
      <c r="O69" s="23">
        <f>183.33</f>
        <v>183.33</v>
      </c>
      <c r="P69" s="23">
        <f t="shared" si="33"/>
        <v>206.86999999999998</v>
      </c>
      <c r="Q69" s="24">
        <f t="shared" si="34"/>
        <v>2.1284023345879013</v>
      </c>
      <c r="R69" s="23">
        <f>266.53</f>
        <v>266.52999999999997</v>
      </c>
      <c r="S69" s="23">
        <f>183.33</f>
        <v>183.33</v>
      </c>
      <c r="T69" s="23">
        <f t="shared" si="35"/>
        <v>83.19999999999996</v>
      </c>
      <c r="U69" s="24">
        <f t="shared" si="36"/>
        <v>1.4538264332078763</v>
      </c>
      <c r="V69" s="23">
        <f>137.34</f>
        <v>137.34</v>
      </c>
      <c r="W69" s="23">
        <f>183.33</f>
        <v>183.33</v>
      </c>
      <c r="X69" s="23">
        <f t="shared" si="37"/>
        <v>-45.990000000000009</v>
      </c>
      <c r="Y69" s="24">
        <f t="shared" si="38"/>
        <v>0.74914089347079038</v>
      </c>
      <c r="Z69" s="22"/>
      <c r="AA69" s="23">
        <f>183.33</f>
        <v>183.33</v>
      </c>
      <c r="AB69" s="23">
        <f t="shared" si="39"/>
        <v>-183.33</v>
      </c>
      <c r="AC69" s="24">
        <f t="shared" si="40"/>
        <v>0</v>
      </c>
      <c r="AD69" s="22"/>
      <c r="AE69" s="23">
        <f>183.33</f>
        <v>183.33</v>
      </c>
      <c r="AF69" s="23">
        <f t="shared" si="41"/>
        <v>-183.33</v>
      </c>
      <c r="AG69" s="24">
        <f t="shared" si="42"/>
        <v>0</v>
      </c>
      <c r="AH69" s="22"/>
      <c r="AI69" s="23">
        <f>183.33</f>
        <v>183.33</v>
      </c>
      <c r="AJ69" s="23">
        <f t="shared" si="43"/>
        <v>-183.33</v>
      </c>
      <c r="AK69" s="24">
        <f t="shared" si="44"/>
        <v>0</v>
      </c>
      <c r="AL69" s="23">
        <f>203.51</f>
        <v>203.51</v>
      </c>
      <c r="AM69" s="23">
        <f>183.33</f>
        <v>183.33</v>
      </c>
      <c r="AN69" s="23">
        <f t="shared" si="45"/>
        <v>20.179999999999978</v>
      </c>
      <c r="AO69" s="24">
        <f t="shared" si="46"/>
        <v>1.1100747286314296</v>
      </c>
      <c r="AP69" s="22"/>
      <c r="AQ69" s="23">
        <f>183.33</f>
        <v>183.33</v>
      </c>
      <c r="AR69" s="23">
        <f t="shared" si="47"/>
        <v>-183.33</v>
      </c>
      <c r="AS69" s="24">
        <f t="shared" si="48"/>
        <v>0</v>
      </c>
      <c r="AT69" s="22"/>
      <c r="AU69" s="23">
        <f>183.37</f>
        <v>183.37</v>
      </c>
      <c r="AV69" s="23">
        <f t="shared" si="49"/>
        <v>-183.37</v>
      </c>
      <c r="AW69" s="24">
        <f t="shared" si="50"/>
        <v>0</v>
      </c>
      <c r="AX69" s="23">
        <f t="shared" si="54"/>
        <v>997.58</v>
      </c>
      <c r="AY69" s="23">
        <f t="shared" si="54"/>
        <v>2199.9999999999995</v>
      </c>
      <c r="AZ69" s="23">
        <f t="shared" si="52"/>
        <v>-1202.4199999999996</v>
      </c>
      <c r="BA69" s="24">
        <f t="shared" si="53"/>
        <v>0.45344545454545465</v>
      </c>
    </row>
    <row r="70" spans="1:53" x14ac:dyDescent="0.3">
      <c r="A70" s="21" t="s">
        <v>142</v>
      </c>
      <c r="B70" s="22"/>
      <c r="C70" s="23">
        <f>100</f>
        <v>100</v>
      </c>
      <c r="D70" s="23">
        <f t="shared" si="27"/>
        <v>-100</v>
      </c>
      <c r="E70" s="24">
        <f t="shared" si="28"/>
        <v>0</v>
      </c>
      <c r="F70" s="22"/>
      <c r="G70" s="23">
        <f>100</f>
        <v>100</v>
      </c>
      <c r="H70" s="23">
        <f t="shared" si="29"/>
        <v>-100</v>
      </c>
      <c r="I70" s="24">
        <f t="shared" si="30"/>
        <v>0</v>
      </c>
      <c r="J70" s="22"/>
      <c r="K70" s="23">
        <f>100</f>
        <v>100</v>
      </c>
      <c r="L70" s="23">
        <f t="shared" si="31"/>
        <v>-100</v>
      </c>
      <c r="M70" s="24">
        <f t="shared" si="32"/>
        <v>0</v>
      </c>
      <c r="N70" s="22"/>
      <c r="O70" s="23">
        <f>100</f>
        <v>100</v>
      </c>
      <c r="P70" s="23">
        <f t="shared" si="33"/>
        <v>-100</v>
      </c>
      <c r="Q70" s="24">
        <f t="shared" si="34"/>
        <v>0</v>
      </c>
      <c r="R70" s="22"/>
      <c r="S70" s="23">
        <f>100</f>
        <v>100</v>
      </c>
      <c r="T70" s="23">
        <f t="shared" si="35"/>
        <v>-100</v>
      </c>
      <c r="U70" s="24">
        <f t="shared" si="36"/>
        <v>0</v>
      </c>
      <c r="V70" s="22"/>
      <c r="W70" s="23">
        <f>100</f>
        <v>100</v>
      </c>
      <c r="X70" s="23">
        <f t="shared" si="37"/>
        <v>-100</v>
      </c>
      <c r="Y70" s="24">
        <f t="shared" si="38"/>
        <v>0</v>
      </c>
      <c r="Z70" s="22"/>
      <c r="AA70" s="23">
        <f>100</f>
        <v>100</v>
      </c>
      <c r="AB70" s="23">
        <f t="shared" si="39"/>
        <v>-100</v>
      </c>
      <c r="AC70" s="24">
        <f t="shared" si="40"/>
        <v>0</v>
      </c>
      <c r="AD70" s="22"/>
      <c r="AE70" s="23">
        <f>100</f>
        <v>100</v>
      </c>
      <c r="AF70" s="23">
        <f t="shared" si="41"/>
        <v>-100</v>
      </c>
      <c r="AG70" s="24">
        <f t="shared" si="42"/>
        <v>0</v>
      </c>
      <c r="AH70" s="23">
        <f>1037</f>
        <v>1037</v>
      </c>
      <c r="AI70" s="23">
        <f>100</f>
        <v>100</v>
      </c>
      <c r="AJ70" s="23">
        <f t="shared" si="43"/>
        <v>937</v>
      </c>
      <c r="AK70" s="24">
        <f t="shared" si="44"/>
        <v>10.37</v>
      </c>
      <c r="AL70" s="22"/>
      <c r="AM70" s="23">
        <f>100</f>
        <v>100</v>
      </c>
      <c r="AN70" s="23">
        <f t="shared" si="45"/>
        <v>-100</v>
      </c>
      <c r="AO70" s="24">
        <f t="shared" si="46"/>
        <v>0</v>
      </c>
      <c r="AP70" s="22"/>
      <c r="AQ70" s="23">
        <f>100</f>
        <v>100</v>
      </c>
      <c r="AR70" s="23">
        <f t="shared" si="47"/>
        <v>-100</v>
      </c>
      <c r="AS70" s="24">
        <f t="shared" si="48"/>
        <v>0</v>
      </c>
      <c r="AT70" s="22"/>
      <c r="AU70" s="23">
        <f>100</f>
        <v>100</v>
      </c>
      <c r="AV70" s="23">
        <f t="shared" si="49"/>
        <v>-100</v>
      </c>
      <c r="AW70" s="24">
        <f t="shared" si="50"/>
        <v>0</v>
      </c>
      <c r="AX70" s="23">
        <f t="shared" si="54"/>
        <v>1037</v>
      </c>
      <c r="AY70" s="23">
        <f t="shared" si="54"/>
        <v>1200</v>
      </c>
      <c r="AZ70" s="23">
        <f t="shared" si="52"/>
        <v>-163</v>
      </c>
      <c r="BA70" s="24">
        <f t="shared" si="53"/>
        <v>0.86416666666666664</v>
      </c>
    </row>
    <row r="71" spans="1:53" x14ac:dyDescent="0.3">
      <c r="A71" s="21" t="s">
        <v>143</v>
      </c>
      <c r="B71" s="25">
        <f>(((((((B63)+(B64))+(B65))+(B66))+(B67))+(B68))+(B69))+(B70)</f>
        <v>3254.8900000000003</v>
      </c>
      <c r="C71" s="25">
        <f>(((((((C63)+(C64))+(C65))+(C66))+(C67))+(C68))+(C69))+(C70)</f>
        <v>4866.66</v>
      </c>
      <c r="D71" s="25">
        <f t="shared" si="27"/>
        <v>-1611.7699999999995</v>
      </c>
      <c r="E71" s="26">
        <f t="shared" si="28"/>
        <v>0.66881392988209587</v>
      </c>
      <c r="F71" s="25">
        <f>(((((((F63)+(F64))+(F65))+(F66))+(F67))+(F68))+(F69))+(F70)</f>
        <v>2180</v>
      </c>
      <c r="G71" s="25">
        <f>(((((((G63)+(G64))+(G65))+(G66))+(G67))+(G68))+(G69))+(G70)</f>
        <v>4866.66</v>
      </c>
      <c r="H71" s="25">
        <f t="shared" si="29"/>
        <v>-2686.66</v>
      </c>
      <c r="I71" s="26">
        <f t="shared" si="30"/>
        <v>0.44794581910386178</v>
      </c>
      <c r="J71" s="25">
        <f>(((((((J63)+(J64))+(J65))+(J66))+(J67))+(J68))+(J69))+(J70)</f>
        <v>1117</v>
      </c>
      <c r="K71" s="25">
        <f>(((((((K63)+(K64))+(K65))+(K66))+(K67))+(K68))+(K69))+(K70)</f>
        <v>4866.66</v>
      </c>
      <c r="L71" s="25">
        <f t="shared" si="31"/>
        <v>-3749.66</v>
      </c>
      <c r="M71" s="26">
        <f t="shared" si="32"/>
        <v>0.2295208623573457</v>
      </c>
      <c r="N71" s="25">
        <f>(((((((N63)+(N64))+(N65))+(N66))+(N67))+(N68))+(N69))+(N70)</f>
        <v>3310.02</v>
      </c>
      <c r="O71" s="25">
        <f>(((((((O63)+(O64))+(O65))+(O66))+(O67))+(O68))+(O69))+(O70)</f>
        <v>4866.66</v>
      </c>
      <c r="P71" s="25">
        <f t="shared" si="33"/>
        <v>-1556.6399999999999</v>
      </c>
      <c r="Q71" s="26">
        <f t="shared" si="34"/>
        <v>0.68014202759181863</v>
      </c>
      <c r="R71" s="25">
        <f>(((((((R63)+(R64))+(R65))+(R66))+(R67))+(R68))+(R69))+(R70)</f>
        <v>2106.5299999999997</v>
      </c>
      <c r="S71" s="25">
        <f>(((((((S63)+(S64))+(S65))+(S66))+(S67))+(S68))+(S69))+(S70)</f>
        <v>4866.66</v>
      </c>
      <c r="T71" s="25">
        <f t="shared" si="35"/>
        <v>-2760.13</v>
      </c>
      <c r="U71" s="26">
        <f t="shared" si="36"/>
        <v>0.43284922308112744</v>
      </c>
      <c r="V71" s="25">
        <f>(((((((V63)+(V64))+(V65))+(V66))+(V67))+(V68))+(V69))+(V70)</f>
        <v>1739.4799999999998</v>
      </c>
      <c r="W71" s="25">
        <f>(((((((W63)+(W64))+(W65))+(W66))+(W67))+(W68))+(W69))+(W70)</f>
        <v>4866.66</v>
      </c>
      <c r="X71" s="25">
        <f t="shared" si="37"/>
        <v>-3127.1800000000003</v>
      </c>
      <c r="Y71" s="26">
        <f t="shared" si="38"/>
        <v>0.35742788688751626</v>
      </c>
      <c r="Z71" s="25">
        <f>(((((((Z63)+(Z64))+(Z65))+(Z66))+(Z67))+(Z68))+(Z69))+(Z70)</f>
        <v>122.31</v>
      </c>
      <c r="AA71" s="25">
        <f>(((((((AA63)+(AA64))+(AA65))+(AA66))+(AA67))+(AA68))+(AA69))+(AA70)</f>
        <v>4866.66</v>
      </c>
      <c r="AB71" s="25">
        <f t="shared" si="39"/>
        <v>-4744.3499999999995</v>
      </c>
      <c r="AC71" s="26">
        <f t="shared" si="40"/>
        <v>2.5132226208529056E-2</v>
      </c>
      <c r="AD71" s="25">
        <f>(((((((AD63)+(AD64))+(AD65))+(AD66))+(AD67))+(AD68))+(AD69))+(AD70)</f>
        <v>719</v>
      </c>
      <c r="AE71" s="25">
        <f>(((((((AE63)+(AE64))+(AE65))+(AE66))+(AE67))+(AE68))+(AE69))+(AE70)</f>
        <v>4866.66</v>
      </c>
      <c r="AF71" s="25">
        <f t="shared" si="41"/>
        <v>-4147.66</v>
      </c>
      <c r="AG71" s="26">
        <f t="shared" si="42"/>
        <v>0.14773992841086084</v>
      </c>
      <c r="AH71" s="25">
        <f>(((((((AH63)+(AH64))+(AH65))+(AH66))+(AH67))+(AH68))+(AH69))+(AH70)</f>
        <v>2762.1</v>
      </c>
      <c r="AI71" s="25">
        <f>(((((((AI63)+(AI64))+(AI65))+(AI66))+(AI67))+(AI68))+(AI69))+(AI70)</f>
        <v>4866.66</v>
      </c>
      <c r="AJ71" s="25">
        <f t="shared" si="43"/>
        <v>-2104.56</v>
      </c>
      <c r="AK71" s="26">
        <f t="shared" si="44"/>
        <v>0.56755557199393425</v>
      </c>
      <c r="AL71" s="25">
        <f>(((((((AL63)+(AL64))+(AL65))+(AL66))+(AL67))+(AL68))+(AL69))+(AL70)</f>
        <v>3578.51</v>
      </c>
      <c r="AM71" s="25">
        <f>(((((((AM63)+(AM64))+(AM65))+(AM66))+(AM67))+(AM68))+(AM69))+(AM70)</f>
        <v>4866.66</v>
      </c>
      <c r="AN71" s="25">
        <f t="shared" si="45"/>
        <v>-1288.1499999999996</v>
      </c>
      <c r="AO71" s="26">
        <f t="shared" si="46"/>
        <v>0.73531128124833056</v>
      </c>
      <c r="AP71" s="25">
        <f>(((((((AP63)+(AP64))+(AP65))+(AP66))+(AP67))+(AP68))+(AP69))+(AP70)</f>
        <v>2220</v>
      </c>
      <c r="AQ71" s="25">
        <f>(((((((AQ63)+(AQ64))+(AQ65))+(AQ66))+(AQ67))+(AQ68))+(AQ69))+(AQ70)</f>
        <v>4866.66</v>
      </c>
      <c r="AR71" s="25">
        <f t="shared" si="47"/>
        <v>-2646.66</v>
      </c>
      <c r="AS71" s="26">
        <f t="shared" si="48"/>
        <v>0.45616500844521707</v>
      </c>
      <c r="AT71" s="25">
        <f>(((((((AT63)+(AT64))+(AT65))+(AT66))+(AT67))+(AT68))+(AT69))+(AT70)</f>
        <v>0</v>
      </c>
      <c r="AU71" s="25">
        <f>(((((((AU63)+(AU64))+(AU65))+(AU66))+(AU67))+(AU68))+(AU69))+(AU70)</f>
        <v>4866.74</v>
      </c>
      <c r="AV71" s="25">
        <f t="shared" si="49"/>
        <v>-4866.74</v>
      </c>
      <c r="AW71" s="26">
        <f t="shared" si="50"/>
        <v>0</v>
      </c>
      <c r="AX71" s="25">
        <f t="shared" si="54"/>
        <v>23109.839999999997</v>
      </c>
      <c r="AY71" s="25">
        <f t="shared" si="54"/>
        <v>58400.000000000007</v>
      </c>
      <c r="AZ71" s="25">
        <f t="shared" si="52"/>
        <v>-35290.160000000011</v>
      </c>
      <c r="BA71" s="26">
        <f t="shared" si="53"/>
        <v>0.39571643835616427</v>
      </c>
    </row>
    <row r="72" spans="1:53" x14ac:dyDescent="0.3">
      <c r="A72" s="21" t="s">
        <v>144</v>
      </c>
      <c r="B72" s="22"/>
      <c r="C72" s="23">
        <f>3541.67</f>
        <v>3541.67</v>
      </c>
      <c r="D72" s="23">
        <f t="shared" si="27"/>
        <v>-3541.67</v>
      </c>
      <c r="E72" s="24">
        <f t="shared" si="28"/>
        <v>0</v>
      </c>
      <c r="F72" s="22"/>
      <c r="G72" s="23">
        <f>3541.67</f>
        <v>3541.67</v>
      </c>
      <c r="H72" s="23">
        <f t="shared" si="29"/>
        <v>-3541.67</v>
      </c>
      <c r="I72" s="24">
        <f t="shared" si="30"/>
        <v>0</v>
      </c>
      <c r="J72" s="22"/>
      <c r="K72" s="23">
        <f>3541.67</f>
        <v>3541.67</v>
      </c>
      <c r="L72" s="23">
        <f t="shared" si="31"/>
        <v>-3541.67</v>
      </c>
      <c r="M72" s="24">
        <f t="shared" si="32"/>
        <v>0</v>
      </c>
      <c r="N72" s="22"/>
      <c r="O72" s="23">
        <f>3541.67</f>
        <v>3541.67</v>
      </c>
      <c r="P72" s="23">
        <f t="shared" si="33"/>
        <v>-3541.67</v>
      </c>
      <c r="Q72" s="24">
        <f t="shared" si="34"/>
        <v>0</v>
      </c>
      <c r="R72" s="22"/>
      <c r="S72" s="23">
        <f>3541.67</f>
        <v>3541.67</v>
      </c>
      <c r="T72" s="23">
        <f t="shared" si="35"/>
        <v>-3541.67</v>
      </c>
      <c r="U72" s="24">
        <f t="shared" si="36"/>
        <v>0</v>
      </c>
      <c r="V72" s="22"/>
      <c r="W72" s="23">
        <f>3541.67</f>
        <v>3541.67</v>
      </c>
      <c r="X72" s="23">
        <f t="shared" si="37"/>
        <v>-3541.67</v>
      </c>
      <c r="Y72" s="24">
        <f t="shared" si="38"/>
        <v>0</v>
      </c>
      <c r="Z72" s="22"/>
      <c r="AA72" s="23">
        <f>3541.67</f>
        <v>3541.67</v>
      </c>
      <c r="AB72" s="23">
        <f t="shared" si="39"/>
        <v>-3541.67</v>
      </c>
      <c r="AC72" s="24">
        <f t="shared" si="40"/>
        <v>0</v>
      </c>
      <c r="AD72" s="22"/>
      <c r="AE72" s="23">
        <f>3541.67</f>
        <v>3541.67</v>
      </c>
      <c r="AF72" s="23">
        <f t="shared" si="41"/>
        <v>-3541.67</v>
      </c>
      <c r="AG72" s="24">
        <f t="shared" si="42"/>
        <v>0</v>
      </c>
      <c r="AH72" s="22"/>
      <c r="AI72" s="23">
        <f>3541.67</f>
        <v>3541.67</v>
      </c>
      <c r="AJ72" s="23">
        <f t="shared" si="43"/>
        <v>-3541.67</v>
      </c>
      <c r="AK72" s="24">
        <f t="shared" si="44"/>
        <v>0</v>
      </c>
      <c r="AL72" s="22"/>
      <c r="AM72" s="23">
        <f>3541.67</f>
        <v>3541.67</v>
      </c>
      <c r="AN72" s="23">
        <f t="shared" si="45"/>
        <v>-3541.67</v>
      </c>
      <c r="AO72" s="24">
        <f t="shared" si="46"/>
        <v>0</v>
      </c>
      <c r="AP72" s="22"/>
      <c r="AQ72" s="23">
        <f>3541.67</f>
        <v>3541.67</v>
      </c>
      <c r="AR72" s="23">
        <f t="shared" si="47"/>
        <v>-3541.67</v>
      </c>
      <c r="AS72" s="24">
        <f t="shared" si="48"/>
        <v>0</v>
      </c>
      <c r="AT72" s="22"/>
      <c r="AU72" s="23">
        <f>3541.63</f>
        <v>3541.63</v>
      </c>
      <c r="AV72" s="23">
        <f t="shared" si="49"/>
        <v>-3541.63</v>
      </c>
      <c r="AW72" s="24">
        <f t="shared" si="50"/>
        <v>0</v>
      </c>
      <c r="AX72" s="23">
        <f t="shared" si="54"/>
        <v>0</v>
      </c>
      <c r="AY72" s="23">
        <f t="shared" si="54"/>
        <v>42499.999999999985</v>
      </c>
      <c r="AZ72" s="23">
        <f t="shared" si="52"/>
        <v>-42499.999999999985</v>
      </c>
      <c r="BA72" s="24">
        <f t="shared" si="53"/>
        <v>0</v>
      </c>
    </row>
    <row r="73" spans="1:53" x14ac:dyDescent="0.3">
      <c r="A73" s="21" t="s">
        <v>145</v>
      </c>
      <c r="B73" s="23">
        <f>1190.21</f>
        <v>1190.21</v>
      </c>
      <c r="C73" s="23">
        <f>1208.33</f>
        <v>1208.33</v>
      </c>
      <c r="D73" s="23">
        <f t="shared" si="27"/>
        <v>-18.119999999999891</v>
      </c>
      <c r="E73" s="24">
        <f t="shared" si="28"/>
        <v>0.98500409656302512</v>
      </c>
      <c r="F73" s="23">
        <f>1190.21</f>
        <v>1190.21</v>
      </c>
      <c r="G73" s="23">
        <f>1208.33</f>
        <v>1208.33</v>
      </c>
      <c r="H73" s="23">
        <f t="shared" si="29"/>
        <v>-18.119999999999891</v>
      </c>
      <c r="I73" s="24">
        <f t="shared" si="30"/>
        <v>0.98500409656302512</v>
      </c>
      <c r="J73" s="23">
        <f>1190.21</f>
        <v>1190.21</v>
      </c>
      <c r="K73" s="23">
        <f>1208.33</f>
        <v>1208.33</v>
      </c>
      <c r="L73" s="23">
        <f t="shared" si="31"/>
        <v>-18.119999999999891</v>
      </c>
      <c r="M73" s="24">
        <f t="shared" si="32"/>
        <v>0.98500409656302512</v>
      </c>
      <c r="N73" s="23">
        <f>1190.21</f>
        <v>1190.21</v>
      </c>
      <c r="O73" s="23">
        <f>1208.33</f>
        <v>1208.33</v>
      </c>
      <c r="P73" s="23">
        <f t="shared" si="33"/>
        <v>-18.119999999999891</v>
      </c>
      <c r="Q73" s="24">
        <f t="shared" si="34"/>
        <v>0.98500409656302512</v>
      </c>
      <c r="R73" s="23">
        <f>1190.21</f>
        <v>1190.21</v>
      </c>
      <c r="S73" s="23">
        <f>1208.33</f>
        <v>1208.33</v>
      </c>
      <c r="T73" s="23">
        <f t="shared" si="35"/>
        <v>-18.119999999999891</v>
      </c>
      <c r="U73" s="24">
        <f t="shared" si="36"/>
        <v>0.98500409656302512</v>
      </c>
      <c r="V73" s="23">
        <f>1190.21</f>
        <v>1190.21</v>
      </c>
      <c r="W73" s="23">
        <f>1208.33</f>
        <v>1208.33</v>
      </c>
      <c r="X73" s="23">
        <f t="shared" si="37"/>
        <v>-18.119999999999891</v>
      </c>
      <c r="Y73" s="24">
        <f t="shared" si="38"/>
        <v>0.98500409656302512</v>
      </c>
      <c r="Z73" s="23">
        <f>1190.21</f>
        <v>1190.21</v>
      </c>
      <c r="AA73" s="23">
        <f>1208.33</f>
        <v>1208.33</v>
      </c>
      <c r="AB73" s="23">
        <f t="shared" si="39"/>
        <v>-18.119999999999891</v>
      </c>
      <c r="AC73" s="24">
        <f t="shared" si="40"/>
        <v>0.98500409656302512</v>
      </c>
      <c r="AD73" s="23">
        <f>1190.21</f>
        <v>1190.21</v>
      </c>
      <c r="AE73" s="23">
        <f>1208.33</f>
        <v>1208.33</v>
      </c>
      <c r="AF73" s="23">
        <f t="shared" si="41"/>
        <v>-18.119999999999891</v>
      </c>
      <c r="AG73" s="24">
        <f t="shared" si="42"/>
        <v>0.98500409656302512</v>
      </c>
      <c r="AH73" s="23">
        <f>1190.21</f>
        <v>1190.21</v>
      </c>
      <c r="AI73" s="23">
        <f>1208.33</f>
        <v>1208.33</v>
      </c>
      <c r="AJ73" s="23">
        <f t="shared" si="43"/>
        <v>-18.119999999999891</v>
      </c>
      <c r="AK73" s="24">
        <f t="shared" si="44"/>
        <v>0.98500409656302512</v>
      </c>
      <c r="AL73" s="23">
        <f>1190.21</f>
        <v>1190.21</v>
      </c>
      <c r="AM73" s="23">
        <f>1208.33</f>
        <v>1208.33</v>
      </c>
      <c r="AN73" s="23">
        <f t="shared" si="45"/>
        <v>-18.119999999999891</v>
      </c>
      <c r="AO73" s="24">
        <f t="shared" si="46"/>
        <v>0.98500409656302512</v>
      </c>
      <c r="AP73" s="22"/>
      <c r="AQ73" s="23">
        <f>1208.33</f>
        <v>1208.33</v>
      </c>
      <c r="AR73" s="23">
        <f t="shared" si="47"/>
        <v>-1208.33</v>
      </c>
      <c r="AS73" s="24">
        <f t="shared" si="48"/>
        <v>0</v>
      </c>
      <c r="AT73" s="22"/>
      <c r="AU73" s="23">
        <f>1208.37</f>
        <v>1208.3699999999999</v>
      </c>
      <c r="AV73" s="23">
        <f t="shared" si="49"/>
        <v>-1208.3699999999999</v>
      </c>
      <c r="AW73" s="24">
        <f t="shared" si="50"/>
        <v>0</v>
      </c>
      <c r="AX73" s="23">
        <f t="shared" si="54"/>
        <v>11902.099999999999</v>
      </c>
      <c r="AY73" s="23">
        <f t="shared" si="54"/>
        <v>14500</v>
      </c>
      <c r="AZ73" s="23">
        <f t="shared" si="52"/>
        <v>-2597.9000000000015</v>
      </c>
      <c r="BA73" s="24">
        <f t="shared" si="53"/>
        <v>0.82083448275862059</v>
      </c>
    </row>
    <row r="74" spans="1:53" x14ac:dyDescent="0.3">
      <c r="A74" s="21" t="s">
        <v>146</v>
      </c>
      <c r="B74" s="23">
        <f>23</f>
        <v>23</v>
      </c>
      <c r="C74" s="23">
        <f>1000</f>
        <v>1000</v>
      </c>
      <c r="D74" s="23">
        <f t="shared" si="27"/>
        <v>-977</v>
      </c>
      <c r="E74" s="24">
        <f t="shared" si="28"/>
        <v>2.3E-2</v>
      </c>
      <c r="F74" s="23">
        <f>207.62</f>
        <v>207.62</v>
      </c>
      <c r="G74" s="23">
        <f>1000</f>
        <v>1000</v>
      </c>
      <c r="H74" s="23">
        <f t="shared" si="29"/>
        <v>-792.38</v>
      </c>
      <c r="I74" s="24">
        <f t="shared" si="30"/>
        <v>0.20762</v>
      </c>
      <c r="J74" s="23">
        <f>1345.94</f>
        <v>1345.94</v>
      </c>
      <c r="K74" s="23">
        <f>1000</f>
        <v>1000</v>
      </c>
      <c r="L74" s="23">
        <f t="shared" si="31"/>
        <v>345.94000000000005</v>
      </c>
      <c r="M74" s="24">
        <f t="shared" si="32"/>
        <v>1.3459400000000001</v>
      </c>
      <c r="N74" s="23">
        <f>1605.54</f>
        <v>1605.54</v>
      </c>
      <c r="O74" s="23">
        <f>1000</f>
        <v>1000</v>
      </c>
      <c r="P74" s="23">
        <f t="shared" si="33"/>
        <v>605.54</v>
      </c>
      <c r="Q74" s="24">
        <f t="shared" si="34"/>
        <v>1.60554</v>
      </c>
      <c r="R74" s="23">
        <f>1378.67</f>
        <v>1378.67</v>
      </c>
      <c r="S74" s="23">
        <f>1000</f>
        <v>1000</v>
      </c>
      <c r="T74" s="23">
        <f t="shared" si="35"/>
        <v>378.67000000000007</v>
      </c>
      <c r="U74" s="24">
        <f t="shared" si="36"/>
        <v>1.3786700000000001</v>
      </c>
      <c r="V74" s="23">
        <f>62.29</f>
        <v>62.29</v>
      </c>
      <c r="W74" s="23">
        <f>1000</f>
        <v>1000</v>
      </c>
      <c r="X74" s="23">
        <f t="shared" si="37"/>
        <v>-937.71</v>
      </c>
      <c r="Y74" s="24">
        <f t="shared" si="38"/>
        <v>6.2289999999999998E-2</v>
      </c>
      <c r="Z74" s="23">
        <f>3160.8</f>
        <v>3160.8</v>
      </c>
      <c r="AA74" s="23">
        <f>1000</f>
        <v>1000</v>
      </c>
      <c r="AB74" s="23">
        <f t="shared" si="39"/>
        <v>2160.8000000000002</v>
      </c>
      <c r="AC74" s="24">
        <f t="shared" si="40"/>
        <v>3.1608000000000001</v>
      </c>
      <c r="AD74" s="22"/>
      <c r="AE74" s="23">
        <f>1000</f>
        <v>1000</v>
      </c>
      <c r="AF74" s="23">
        <f t="shared" si="41"/>
        <v>-1000</v>
      </c>
      <c r="AG74" s="24">
        <f t="shared" si="42"/>
        <v>0</v>
      </c>
      <c r="AH74" s="23">
        <f>4436.88</f>
        <v>4436.88</v>
      </c>
      <c r="AI74" s="23">
        <f>1000</f>
        <v>1000</v>
      </c>
      <c r="AJ74" s="23">
        <f t="shared" si="43"/>
        <v>3436.88</v>
      </c>
      <c r="AK74" s="24">
        <f t="shared" si="44"/>
        <v>4.4368800000000004</v>
      </c>
      <c r="AL74" s="23">
        <f>89</f>
        <v>89</v>
      </c>
      <c r="AM74" s="23">
        <f>1000</f>
        <v>1000</v>
      </c>
      <c r="AN74" s="23">
        <f t="shared" si="45"/>
        <v>-911</v>
      </c>
      <c r="AO74" s="24">
        <f t="shared" si="46"/>
        <v>8.8999999999999996E-2</v>
      </c>
      <c r="AP74" s="22"/>
      <c r="AQ74" s="23">
        <f>1000</f>
        <v>1000</v>
      </c>
      <c r="AR74" s="23">
        <f t="shared" si="47"/>
        <v>-1000</v>
      </c>
      <c r="AS74" s="24">
        <f t="shared" si="48"/>
        <v>0</v>
      </c>
      <c r="AT74" s="22"/>
      <c r="AU74" s="23">
        <f>1000</f>
        <v>1000</v>
      </c>
      <c r="AV74" s="23">
        <f t="shared" si="49"/>
        <v>-1000</v>
      </c>
      <c r="AW74" s="24">
        <f t="shared" si="50"/>
        <v>0</v>
      </c>
      <c r="AX74" s="23">
        <f t="shared" si="54"/>
        <v>12309.740000000002</v>
      </c>
      <c r="AY74" s="23">
        <f t="shared" si="54"/>
        <v>12000</v>
      </c>
      <c r="AZ74" s="23">
        <f t="shared" si="52"/>
        <v>309.7400000000016</v>
      </c>
      <c r="BA74" s="24">
        <f t="shared" si="53"/>
        <v>1.0258116666666668</v>
      </c>
    </row>
    <row r="75" spans="1:53" x14ac:dyDescent="0.3">
      <c r="A75" s="21" t="s">
        <v>147</v>
      </c>
      <c r="B75" s="22"/>
      <c r="C75" s="23">
        <f>666.67</f>
        <v>666.67</v>
      </c>
      <c r="D75" s="23">
        <f t="shared" si="27"/>
        <v>-666.67</v>
      </c>
      <c r="E75" s="24">
        <f t="shared" si="28"/>
        <v>0</v>
      </c>
      <c r="F75" s="23">
        <f>280</f>
        <v>280</v>
      </c>
      <c r="G75" s="23">
        <f>666.67</f>
        <v>666.67</v>
      </c>
      <c r="H75" s="23">
        <f t="shared" si="29"/>
        <v>-386.66999999999996</v>
      </c>
      <c r="I75" s="24">
        <f t="shared" si="30"/>
        <v>0.41999790001049997</v>
      </c>
      <c r="J75" s="23">
        <f>175</f>
        <v>175</v>
      </c>
      <c r="K75" s="23">
        <f>666.67</f>
        <v>666.67</v>
      </c>
      <c r="L75" s="23">
        <f t="shared" si="31"/>
        <v>-491.66999999999996</v>
      </c>
      <c r="M75" s="24">
        <f t="shared" si="32"/>
        <v>0.26249868750656247</v>
      </c>
      <c r="N75" s="22"/>
      <c r="O75" s="23">
        <f>666.67</f>
        <v>666.67</v>
      </c>
      <c r="P75" s="23">
        <f t="shared" si="33"/>
        <v>-666.67</v>
      </c>
      <c r="Q75" s="24">
        <f t="shared" si="34"/>
        <v>0</v>
      </c>
      <c r="R75" s="22"/>
      <c r="S75" s="23">
        <f>666.67</f>
        <v>666.67</v>
      </c>
      <c r="T75" s="23">
        <f t="shared" si="35"/>
        <v>-666.67</v>
      </c>
      <c r="U75" s="24">
        <f t="shared" si="36"/>
        <v>0</v>
      </c>
      <c r="V75" s="22"/>
      <c r="W75" s="23">
        <f>666.67</f>
        <v>666.67</v>
      </c>
      <c r="X75" s="23">
        <f t="shared" si="37"/>
        <v>-666.67</v>
      </c>
      <c r="Y75" s="24">
        <f t="shared" si="38"/>
        <v>0</v>
      </c>
      <c r="Z75" s="22"/>
      <c r="AA75" s="23">
        <f>666.67</f>
        <v>666.67</v>
      </c>
      <c r="AB75" s="23">
        <f t="shared" si="39"/>
        <v>-666.67</v>
      </c>
      <c r="AC75" s="24">
        <f t="shared" si="40"/>
        <v>0</v>
      </c>
      <c r="AD75" s="23">
        <f>3995</f>
        <v>3995</v>
      </c>
      <c r="AE75" s="23">
        <f>666.67</f>
        <v>666.67</v>
      </c>
      <c r="AF75" s="23">
        <f t="shared" si="41"/>
        <v>3328.33</v>
      </c>
      <c r="AG75" s="24">
        <f t="shared" si="42"/>
        <v>5.9924700376498121</v>
      </c>
      <c r="AH75" s="22"/>
      <c r="AI75" s="23">
        <f>666.67</f>
        <v>666.67</v>
      </c>
      <c r="AJ75" s="23">
        <f t="shared" si="43"/>
        <v>-666.67</v>
      </c>
      <c r="AK75" s="24">
        <f t="shared" si="44"/>
        <v>0</v>
      </c>
      <c r="AL75" s="22"/>
      <c r="AM75" s="23">
        <f>666.67</f>
        <v>666.67</v>
      </c>
      <c r="AN75" s="23">
        <f t="shared" si="45"/>
        <v>-666.67</v>
      </c>
      <c r="AO75" s="24">
        <f t="shared" si="46"/>
        <v>0</v>
      </c>
      <c r="AP75" s="22"/>
      <c r="AQ75" s="23">
        <f>666.67</f>
        <v>666.67</v>
      </c>
      <c r="AR75" s="23">
        <f t="shared" si="47"/>
        <v>-666.67</v>
      </c>
      <c r="AS75" s="24">
        <f t="shared" si="48"/>
        <v>0</v>
      </c>
      <c r="AT75" s="22"/>
      <c r="AU75" s="23">
        <f>666.63</f>
        <v>666.63</v>
      </c>
      <c r="AV75" s="23">
        <f t="shared" si="49"/>
        <v>-666.63</v>
      </c>
      <c r="AW75" s="24">
        <f t="shared" si="50"/>
        <v>0</v>
      </c>
      <c r="AX75" s="23">
        <f t="shared" si="54"/>
        <v>4450</v>
      </c>
      <c r="AY75" s="23">
        <f t="shared" si="54"/>
        <v>8000</v>
      </c>
      <c r="AZ75" s="23">
        <f t="shared" si="52"/>
        <v>-3550</v>
      </c>
      <c r="BA75" s="24">
        <f t="shared" si="53"/>
        <v>0.55625000000000002</v>
      </c>
    </row>
    <row r="76" spans="1:53" x14ac:dyDescent="0.3">
      <c r="A76" s="21" t="s">
        <v>148</v>
      </c>
      <c r="B76" s="22"/>
      <c r="C76" s="23">
        <f>0</f>
        <v>0</v>
      </c>
      <c r="D76" s="23">
        <f t="shared" si="27"/>
        <v>0</v>
      </c>
      <c r="E76" s="24" t="str">
        <f t="shared" si="28"/>
        <v/>
      </c>
      <c r="F76" s="22"/>
      <c r="G76" s="23">
        <f>0</f>
        <v>0</v>
      </c>
      <c r="H76" s="23">
        <f t="shared" si="29"/>
        <v>0</v>
      </c>
      <c r="I76" s="24" t="str">
        <f t="shared" si="30"/>
        <v/>
      </c>
      <c r="J76" s="22"/>
      <c r="K76" s="23">
        <f>0</f>
        <v>0</v>
      </c>
      <c r="L76" s="23">
        <f t="shared" si="31"/>
        <v>0</v>
      </c>
      <c r="M76" s="24" t="str">
        <f t="shared" si="32"/>
        <v/>
      </c>
      <c r="N76" s="22"/>
      <c r="O76" s="23">
        <f>0</f>
        <v>0</v>
      </c>
      <c r="P76" s="23">
        <f t="shared" si="33"/>
        <v>0</v>
      </c>
      <c r="Q76" s="24" t="str">
        <f t="shared" si="34"/>
        <v/>
      </c>
      <c r="R76" s="22"/>
      <c r="S76" s="23">
        <f>0</f>
        <v>0</v>
      </c>
      <c r="T76" s="23">
        <f t="shared" si="35"/>
        <v>0</v>
      </c>
      <c r="U76" s="24" t="str">
        <f t="shared" si="36"/>
        <v/>
      </c>
      <c r="V76" s="22"/>
      <c r="W76" s="23">
        <f>0</f>
        <v>0</v>
      </c>
      <c r="X76" s="23">
        <f t="shared" si="37"/>
        <v>0</v>
      </c>
      <c r="Y76" s="24" t="str">
        <f t="shared" si="38"/>
        <v/>
      </c>
      <c r="Z76" s="22"/>
      <c r="AA76" s="23">
        <f>0</f>
        <v>0</v>
      </c>
      <c r="AB76" s="23">
        <f t="shared" si="39"/>
        <v>0</v>
      </c>
      <c r="AC76" s="24" t="str">
        <f t="shared" si="40"/>
        <v/>
      </c>
      <c r="AD76" s="22"/>
      <c r="AE76" s="23">
        <f>0</f>
        <v>0</v>
      </c>
      <c r="AF76" s="23">
        <f t="shared" si="41"/>
        <v>0</v>
      </c>
      <c r="AG76" s="24" t="str">
        <f t="shared" si="42"/>
        <v/>
      </c>
      <c r="AH76" s="22"/>
      <c r="AI76" s="23">
        <f>0</f>
        <v>0</v>
      </c>
      <c r="AJ76" s="23">
        <f t="shared" si="43"/>
        <v>0</v>
      </c>
      <c r="AK76" s="24" t="str">
        <f t="shared" si="44"/>
        <v/>
      </c>
      <c r="AL76" s="22"/>
      <c r="AM76" s="23">
        <f>0</f>
        <v>0</v>
      </c>
      <c r="AN76" s="23">
        <f t="shared" si="45"/>
        <v>0</v>
      </c>
      <c r="AO76" s="24" t="str">
        <f t="shared" si="46"/>
        <v/>
      </c>
      <c r="AP76" s="22"/>
      <c r="AQ76" s="23">
        <f>0</f>
        <v>0</v>
      </c>
      <c r="AR76" s="23">
        <f t="shared" si="47"/>
        <v>0</v>
      </c>
      <c r="AS76" s="24" t="str">
        <f t="shared" si="48"/>
        <v/>
      </c>
      <c r="AT76" s="22"/>
      <c r="AU76" s="23">
        <f>0</f>
        <v>0</v>
      </c>
      <c r="AV76" s="23">
        <f t="shared" si="49"/>
        <v>0</v>
      </c>
      <c r="AW76" s="24" t="str">
        <f t="shared" si="50"/>
        <v/>
      </c>
      <c r="AX76" s="23">
        <f t="shared" si="54"/>
        <v>0</v>
      </c>
      <c r="AY76" s="23">
        <f t="shared" si="54"/>
        <v>0</v>
      </c>
      <c r="AZ76" s="23">
        <f t="shared" si="52"/>
        <v>0</v>
      </c>
      <c r="BA76" s="24" t="str">
        <f t="shared" si="53"/>
        <v/>
      </c>
    </row>
    <row r="77" spans="1:53" x14ac:dyDescent="0.3">
      <c r="A77" s="21" t="s">
        <v>149</v>
      </c>
      <c r="B77" s="23">
        <f>386.79</f>
        <v>386.79</v>
      </c>
      <c r="C77" s="23">
        <f>2500</f>
        <v>2500</v>
      </c>
      <c r="D77" s="23">
        <f t="shared" si="27"/>
        <v>-2113.21</v>
      </c>
      <c r="E77" s="24">
        <f t="shared" si="28"/>
        <v>0.15471600000000002</v>
      </c>
      <c r="F77" s="22"/>
      <c r="G77" s="23">
        <f>2500</f>
        <v>2500</v>
      </c>
      <c r="H77" s="23">
        <f t="shared" si="29"/>
        <v>-2500</v>
      </c>
      <c r="I77" s="24">
        <f t="shared" si="30"/>
        <v>0</v>
      </c>
      <c r="J77" s="23">
        <f>204.27</f>
        <v>204.27</v>
      </c>
      <c r="K77" s="23">
        <f>2500</f>
        <v>2500</v>
      </c>
      <c r="L77" s="23">
        <f t="shared" si="31"/>
        <v>-2295.73</v>
      </c>
      <c r="M77" s="24">
        <f t="shared" si="32"/>
        <v>8.1708000000000003E-2</v>
      </c>
      <c r="N77" s="23">
        <f>844.88</f>
        <v>844.88</v>
      </c>
      <c r="O77" s="23">
        <f>2500</f>
        <v>2500</v>
      </c>
      <c r="P77" s="23">
        <f t="shared" si="33"/>
        <v>-1655.12</v>
      </c>
      <c r="Q77" s="24">
        <f t="shared" si="34"/>
        <v>0.33795199999999997</v>
      </c>
      <c r="R77" s="22"/>
      <c r="S77" s="23">
        <f>2500</f>
        <v>2500</v>
      </c>
      <c r="T77" s="23">
        <f t="shared" si="35"/>
        <v>-2500</v>
      </c>
      <c r="U77" s="24">
        <f t="shared" si="36"/>
        <v>0</v>
      </c>
      <c r="V77" s="23">
        <f>82.4</f>
        <v>82.4</v>
      </c>
      <c r="W77" s="23">
        <f>2500</f>
        <v>2500</v>
      </c>
      <c r="X77" s="23">
        <f t="shared" si="37"/>
        <v>-2417.6</v>
      </c>
      <c r="Y77" s="24">
        <f t="shared" si="38"/>
        <v>3.2960000000000003E-2</v>
      </c>
      <c r="Z77" s="23">
        <f>171.33</f>
        <v>171.33</v>
      </c>
      <c r="AA77" s="23">
        <f>2500</f>
        <v>2500</v>
      </c>
      <c r="AB77" s="23">
        <f t="shared" si="39"/>
        <v>-2328.67</v>
      </c>
      <c r="AC77" s="24">
        <f t="shared" si="40"/>
        <v>6.853200000000001E-2</v>
      </c>
      <c r="AD77" s="23">
        <f>688.9</f>
        <v>688.9</v>
      </c>
      <c r="AE77" s="23">
        <f>2500</f>
        <v>2500</v>
      </c>
      <c r="AF77" s="23">
        <f t="shared" si="41"/>
        <v>-1811.1</v>
      </c>
      <c r="AG77" s="24">
        <f t="shared" si="42"/>
        <v>0.27555999999999997</v>
      </c>
      <c r="AH77" s="23">
        <f>5057.6</f>
        <v>5057.6000000000004</v>
      </c>
      <c r="AI77" s="23">
        <f>2500</f>
        <v>2500</v>
      </c>
      <c r="AJ77" s="23">
        <f t="shared" si="43"/>
        <v>2557.6000000000004</v>
      </c>
      <c r="AK77" s="24">
        <f t="shared" si="44"/>
        <v>2.0230399999999999</v>
      </c>
      <c r="AL77" s="22"/>
      <c r="AM77" s="23">
        <f>2500</f>
        <v>2500</v>
      </c>
      <c r="AN77" s="23">
        <f t="shared" si="45"/>
        <v>-2500</v>
      </c>
      <c r="AO77" s="24">
        <f t="shared" si="46"/>
        <v>0</v>
      </c>
      <c r="AP77" s="22"/>
      <c r="AQ77" s="23">
        <f>2500</f>
        <v>2500</v>
      </c>
      <c r="AR77" s="23">
        <f t="shared" si="47"/>
        <v>-2500</v>
      </c>
      <c r="AS77" s="24">
        <f t="shared" si="48"/>
        <v>0</v>
      </c>
      <c r="AT77" s="22"/>
      <c r="AU77" s="23">
        <f>2500</f>
        <v>2500</v>
      </c>
      <c r="AV77" s="23">
        <f t="shared" si="49"/>
        <v>-2500</v>
      </c>
      <c r="AW77" s="24">
        <f t="shared" si="50"/>
        <v>0</v>
      </c>
      <c r="AX77" s="23">
        <f t="shared" si="54"/>
        <v>7436.17</v>
      </c>
      <c r="AY77" s="23">
        <f t="shared" si="54"/>
        <v>30000</v>
      </c>
      <c r="AZ77" s="23">
        <f t="shared" si="52"/>
        <v>-22563.83</v>
      </c>
      <c r="BA77" s="24">
        <f t="shared" si="53"/>
        <v>0.24787233333333333</v>
      </c>
    </row>
    <row r="78" spans="1:53" x14ac:dyDescent="0.3">
      <c r="A78" s="21" t="s">
        <v>150</v>
      </c>
      <c r="B78" s="23">
        <f>118.99</f>
        <v>118.99</v>
      </c>
      <c r="C78" s="23">
        <f>2500</f>
        <v>2500</v>
      </c>
      <c r="D78" s="23">
        <f t="shared" si="27"/>
        <v>-2381.0100000000002</v>
      </c>
      <c r="E78" s="24">
        <f t="shared" si="28"/>
        <v>4.7595999999999999E-2</v>
      </c>
      <c r="F78" s="23">
        <f>1927.38</f>
        <v>1927.38</v>
      </c>
      <c r="G78" s="23">
        <f>2500</f>
        <v>2500</v>
      </c>
      <c r="H78" s="23">
        <f t="shared" si="29"/>
        <v>-572.61999999999989</v>
      </c>
      <c r="I78" s="24">
        <f t="shared" si="30"/>
        <v>0.77095200000000008</v>
      </c>
      <c r="J78" s="23">
        <f>1714.45</f>
        <v>1714.45</v>
      </c>
      <c r="K78" s="23">
        <f>2500</f>
        <v>2500</v>
      </c>
      <c r="L78" s="23">
        <f t="shared" si="31"/>
        <v>-785.55</v>
      </c>
      <c r="M78" s="24">
        <f t="shared" si="32"/>
        <v>0.68578000000000006</v>
      </c>
      <c r="N78" s="23">
        <f>191.15</f>
        <v>191.15</v>
      </c>
      <c r="O78" s="23">
        <f>2500</f>
        <v>2500</v>
      </c>
      <c r="P78" s="23">
        <f t="shared" si="33"/>
        <v>-2308.85</v>
      </c>
      <c r="Q78" s="24">
        <f t="shared" si="34"/>
        <v>7.646E-2</v>
      </c>
      <c r="R78" s="23">
        <f>534.34</f>
        <v>534.34</v>
      </c>
      <c r="S78" s="23">
        <f>2500</f>
        <v>2500</v>
      </c>
      <c r="T78" s="23">
        <f t="shared" si="35"/>
        <v>-1965.6599999999999</v>
      </c>
      <c r="U78" s="24">
        <f t="shared" si="36"/>
        <v>0.21373600000000001</v>
      </c>
      <c r="V78" s="23">
        <f>255.29</f>
        <v>255.29</v>
      </c>
      <c r="W78" s="23">
        <f>2500</f>
        <v>2500</v>
      </c>
      <c r="X78" s="23">
        <f t="shared" si="37"/>
        <v>-2244.71</v>
      </c>
      <c r="Y78" s="24">
        <f t="shared" si="38"/>
        <v>0.102116</v>
      </c>
      <c r="Z78" s="23">
        <f>291.8</f>
        <v>291.8</v>
      </c>
      <c r="AA78" s="23">
        <f>2500</f>
        <v>2500</v>
      </c>
      <c r="AB78" s="23">
        <f t="shared" si="39"/>
        <v>-2208.1999999999998</v>
      </c>
      <c r="AC78" s="24">
        <f t="shared" si="40"/>
        <v>0.11672</v>
      </c>
      <c r="AD78" s="23">
        <f>538.28</f>
        <v>538.28</v>
      </c>
      <c r="AE78" s="23">
        <f>2500</f>
        <v>2500</v>
      </c>
      <c r="AF78" s="23">
        <f t="shared" si="41"/>
        <v>-1961.72</v>
      </c>
      <c r="AG78" s="24">
        <f t="shared" si="42"/>
        <v>0.21531199999999998</v>
      </c>
      <c r="AH78" s="23">
        <f>586.23</f>
        <v>586.23</v>
      </c>
      <c r="AI78" s="23">
        <f>2500</f>
        <v>2500</v>
      </c>
      <c r="AJ78" s="23">
        <f t="shared" si="43"/>
        <v>-1913.77</v>
      </c>
      <c r="AK78" s="24">
        <f t="shared" si="44"/>
        <v>0.23449200000000001</v>
      </c>
      <c r="AL78" s="23">
        <f>1884.47</f>
        <v>1884.47</v>
      </c>
      <c r="AM78" s="23">
        <f>2500</f>
        <v>2500</v>
      </c>
      <c r="AN78" s="23">
        <f t="shared" si="45"/>
        <v>-615.53</v>
      </c>
      <c r="AO78" s="24">
        <f t="shared" si="46"/>
        <v>0.75378800000000001</v>
      </c>
      <c r="AP78" s="22"/>
      <c r="AQ78" s="23">
        <f>2500</f>
        <v>2500</v>
      </c>
      <c r="AR78" s="23">
        <f t="shared" si="47"/>
        <v>-2500</v>
      </c>
      <c r="AS78" s="24">
        <f t="shared" si="48"/>
        <v>0</v>
      </c>
      <c r="AT78" s="22"/>
      <c r="AU78" s="23">
        <f>2500</f>
        <v>2500</v>
      </c>
      <c r="AV78" s="23">
        <f t="shared" si="49"/>
        <v>-2500</v>
      </c>
      <c r="AW78" s="24">
        <f t="shared" si="50"/>
        <v>0</v>
      </c>
      <c r="AX78" s="23">
        <f t="shared" si="54"/>
        <v>8042.38</v>
      </c>
      <c r="AY78" s="23">
        <f t="shared" si="54"/>
        <v>30000</v>
      </c>
      <c r="AZ78" s="23">
        <f t="shared" si="52"/>
        <v>-21957.62</v>
      </c>
      <c r="BA78" s="24">
        <f t="shared" si="53"/>
        <v>0.26807933333333334</v>
      </c>
    </row>
    <row r="79" spans="1:53" x14ac:dyDescent="0.3">
      <c r="A79" s="21" t="s">
        <v>151</v>
      </c>
      <c r="B79" s="25">
        <f>((B76)+(B77))+(B78)</f>
        <v>505.78000000000003</v>
      </c>
      <c r="C79" s="25">
        <f>((C76)+(C77))+(C78)</f>
        <v>5000</v>
      </c>
      <c r="D79" s="25">
        <f t="shared" si="27"/>
        <v>-4494.22</v>
      </c>
      <c r="E79" s="26">
        <f t="shared" si="28"/>
        <v>0.10115600000000001</v>
      </c>
      <c r="F79" s="25">
        <f>((F76)+(F77))+(F78)</f>
        <v>1927.38</v>
      </c>
      <c r="G79" s="25">
        <f>((G76)+(G77))+(G78)</f>
        <v>5000</v>
      </c>
      <c r="H79" s="25">
        <f t="shared" si="29"/>
        <v>-3072.62</v>
      </c>
      <c r="I79" s="26">
        <f t="shared" si="30"/>
        <v>0.38547600000000004</v>
      </c>
      <c r="J79" s="25">
        <f>((J76)+(J77))+(J78)</f>
        <v>1918.72</v>
      </c>
      <c r="K79" s="25">
        <f>((K76)+(K77))+(K78)</f>
        <v>5000</v>
      </c>
      <c r="L79" s="25">
        <f t="shared" si="31"/>
        <v>-3081.2799999999997</v>
      </c>
      <c r="M79" s="26">
        <f t="shared" si="32"/>
        <v>0.38374400000000003</v>
      </c>
      <c r="N79" s="25">
        <f>((N76)+(N77))+(N78)</f>
        <v>1036.03</v>
      </c>
      <c r="O79" s="25">
        <f>((O76)+(O77))+(O78)</f>
        <v>5000</v>
      </c>
      <c r="P79" s="25">
        <f t="shared" si="33"/>
        <v>-3963.9700000000003</v>
      </c>
      <c r="Q79" s="26">
        <f t="shared" si="34"/>
        <v>0.207206</v>
      </c>
      <c r="R79" s="25">
        <f>((R76)+(R77))+(R78)</f>
        <v>534.34</v>
      </c>
      <c r="S79" s="25">
        <f>((S76)+(S77))+(S78)</f>
        <v>5000</v>
      </c>
      <c r="T79" s="25">
        <f t="shared" si="35"/>
        <v>-4465.66</v>
      </c>
      <c r="U79" s="26">
        <f t="shared" si="36"/>
        <v>0.106868</v>
      </c>
      <c r="V79" s="25">
        <f>((V76)+(V77))+(V78)</f>
        <v>337.69</v>
      </c>
      <c r="W79" s="25">
        <f>((W76)+(W77))+(W78)</f>
        <v>5000</v>
      </c>
      <c r="X79" s="25">
        <f t="shared" si="37"/>
        <v>-4662.3100000000004</v>
      </c>
      <c r="Y79" s="26">
        <f t="shared" si="38"/>
        <v>6.7538000000000001E-2</v>
      </c>
      <c r="Z79" s="25">
        <f>((Z76)+(Z77))+(Z78)</f>
        <v>463.13</v>
      </c>
      <c r="AA79" s="25">
        <f>((AA76)+(AA77))+(AA78)</f>
        <v>5000</v>
      </c>
      <c r="AB79" s="25">
        <f t="shared" si="39"/>
        <v>-4536.87</v>
      </c>
      <c r="AC79" s="26">
        <f t="shared" si="40"/>
        <v>9.2626E-2</v>
      </c>
      <c r="AD79" s="25">
        <f>((AD76)+(AD77))+(AD78)</f>
        <v>1227.1799999999998</v>
      </c>
      <c r="AE79" s="25">
        <f>((AE76)+(AE77))+(AE78)</f>
        <v>5000</v>
      </c>
      <c r="AF79" s="25">
        <f t="shared" si="41"/>
        <v>-3772.82</v>
      </c>
      <c r="AG79" s="26">
        <f t="shared" si="42"/>
        <v>0.24543599999999996</v>
      </c>
      <c r="AH79" s="25">
        <f>((AH76)+(AH77))+(AH78)</f>
        <v>5643.83</v>
      </c>
      <c r="AI79" s="25">
        <f>((AI76)+(AI77))+(AI78)</f>
        <v>5000</v>
      </c>
      <c r="AJ79" s="25">
        <f t="shared" si="43"/>
        <v>643.82999999999993</v>
      </c>
      <c r="AK79" s="26">
        <f t="shared" si="44"/>
        <v>1.1287659999999999</v>
      </c>
      <c r="AL79" s="25">
        <f>((AL76)+(AL77))+(AL78)</f>
        <v>1884.47</v>
      </c>
      <c r="AM79" s="25">
        <f>((AM76)+(AM77))+(AM78)</f>
        <v>5000</v>
      </c>
      <c r="AN79" s="25">
        <f t="shared" si="45"/>
        <v>-3115.5299999999997</v>
      </c>
      <c r="AO79" s="26">
        <f t="shared" si="46"/>
        <v>0.37689400000000001</v>
      </c>
      <c r="AP79" s="25">
        <f>((AP76)+(AP77))+(AP78)</f>
        <v>0</v>
      </c>
      <c r="AQ79" s="25">
        <f>((AQ76)+(AQ77))+(AQ78)</f>
        <v>5000</v>
      </c>
      <c r="AR79" s="25">
        <f t="shared" si="47"/>
        <v>-5000</v>
      </c>
      <c r="AS79" s="26">
        <f t="shared" si="48"/>
        <v>0</v>
      </c>
      <c r="AT79" s="25">
        <f>((AT76)+(AT77))+(AT78)</f>
        <v>0</v>
      </c>
      <c r="AU79" s="25">
        <f>((AU76)+(AU77))+(AU78)</f>
        <v>5000</v>
      </c>
      <c r="AV79" s="25">
        <f t="shared" si="49"/>
        <v>-5000</v>
      </c>
      <c r="AW79" s="26">
        <f t="shared" si="50"/>
        <v>0</v>
      </c>
      <c r="AX79" s="25">
        <f t="shared" si="54"/>
        <v>15478.55</v>
      </c>
      <c r="AY79" s="25">
        <f t="shared" si="54"/>
        <v>60000</v>
      </c>
      <c r="AZ79" s="25">
        <f t="shared" si="52"/>
        <v>-44521.45</v>
      </c>
      <c r="BA79" s="26">
        <f t="shared" si="53"/>
        <v>0.25797583333333335</v>
      </c>
    </row>
    <row r="80" spans="1:53" x14ac:dyDescent="0.3">
      <c r="A80" s="21" t="s">
        <v>152</v>
      </c>
      <c r="B80" s="22"/>
      <c r="C80" s="22"/>
      <c r="D80" s="23">
        <f t="shared" si="27"/>
        <v>0</v>
      </c>
      <c r="E80" s="24" t="str">
        <f t="shared" si="28"/>
        <v/>
      </c>
      <c r="F80" s="22"/>
      <c r="G80" s="22"/>
      <c r="H80" s="23">
        <f t="shared" si="29"/>
        <v>0</v>
      </c>
      <c r="I80" s="24" t="str">
        <f t="shared" si="30"/>
        <v/>
      </c>
      <c r="J80" s="22"/>
      <c r="K80" s="22"/>
      <c r="L80" s="23">
        <f t="shared" si="31"/>
        <v>0</v>
      </c>
      <c r="M80" s="24" t="str">
        <f t="shared" si="32"/>
        <v/>
      </c>
      <c r="N80" s="22"/>
      <c r="O80" s="22"/>
      <c r="P80" s="23">
        <f t="shared" si="33"/>
        <v>0</v>
      </c>
      <c r="Q80" s="24" t="str">
        <f t="shared" si="34"/>
        <v/>
      </c>
      <c r="R80" s="22"/>
      <c r="S80" s="22"/>
      <c r="T80" s="23">
        <f t="shared" si="35"/>
        <v>0</v>
      </c>
      <c r="U80" s="24" t="str">
        <f t="shared" si="36"/>
        <v/>
      </c>
      <c r="V80" s="22"/>
      <c r="W80" s="22"/>
      <c r="X80" s="23">
        <f t="shared" si="37"/>
        <v>0</v>
      </c>
      <c r="Y80" s="24" t="str">
        <f t="shared" si="38"/>
        <v/>
      </c>
      <c r="Z80" s="22"/>
      <c r="AA80" s="22"/>
      <c r="AB80" s="23">
        <f t="shared" si="39"/>
        <v>0</v>
      </c>
      <c r="AC80" s="24" t="str">
        <f t="shared" si="40"/>
        <v/>
      </c>
      <c r="AD80" s="22"/>
      <c r="AE80" s="22"/>
      <c r="AF80" s="23">
        <f t="shared" si="41"/>
        <v>0</v>
      </c>
      <c r="AG80" s="24" t="str">
        <f t="shared" si="42"/>
        <v/>
      </c>
      <c r="AH80" s="22"/>
      <c r="AI80" s="22"/>
      <c r="AJ80" s="23">
        <f t="shared" si="43"/>
        <v>0</v>
      </c>
      <c r="AK80" s="24" t="str">
        <f t="shared" si="44"/>
        <v/>
      </c>
      <c r="AL80" s="22"/>
      <c r="AM80" s="22"/>
      <c r="AN80" s="23">
        <f t="shared" si="45"/>
        <v>0</v>
      </c>
      <c r="AO80" s="24" t="str">
        <f t="shared" si="46"/>
        <v/>
      </c>
      <c r="AP80" s="22"/>
      <c r="AQ80" s="22"/>
      <c r="AR80" s="23">
        <f t="shared" si="47"/>
        <v>0</v>
      </c>
      <c r="AS80" s="24" t="str">
        <f t="shared" si="48"/>
        <v/>
      </c>
      <c r="AT80" s="22"/>
      <c r="AU80" s="22"/>
      <c r="AV80" s="23">
        <f t="shared" si="49"/>
        <v>0</v>
      </c>
      <c r="AW80" s="24" t="str">
        <f t="shared" si="50"/>
        <v/>
      </c>
      <c r="AX80" s="23">
        <f t="shared" si="54"/>
        <v>0</v>
      </c>
      <c r="AY80" s="23">
        <f t="shared" si="54"/>
        <v>0</v>
      </c>
      <c r="AZ80" s="23">
        <f t="shared" si="52"/>
        <v>0</v>
      </c>
      <c r="BA80" s="24" t="str">
        <f t="shared" si="53"/>
        <v/>
      </c>
    </row>
    <row r="81" spans="1:53" x14ac:dyDescent="0.3">
      <c r="A81" s="21" t="s">
        <v>153</v>
      </c>
      <c r="B81" s="23">
        <f>641.7</f>
        <v>641.70000000000005</v>
      </c>
      <c r="C81" s="23">
        <f>500</f>
        <v>500</v>
      </c>
      <c r="D81" s="23">
        <f t="shared" si="27"/>
        <v>141.70000000000005</v>
      </c>
      <c r="E81" s="24">
        <f t="shared" si="28"/>
        <v>1.2834000000000001</v>
      </c>
      <c r="F81" s="23">
        <f>312.01</f>
        <v>312.01</v>
      </c>
      <c r="G81" s="23">
        <f>500</f>
        <v>500</v>
      </c>
      <c r="H81" s="23">
        <f t="shared" si="29"/>
        <v>-187.99</v>
      </c>
      <c r="I81" s="24">
        <f t="shared" si="30"/>
        <v>0.62402000000000002</v>
      </c>
      <c r="J81" s="23">
        <f>171.97</f>
        <v>171.97</v>
      </c>
      <c r="K81" s="23">
        <f>500</f>
        <v>500</v>
      </c>
      <c r="L81" s="23">
        <f t="shared" si="31"/>
        <v>-328.03</v>
      </c>
      <c r="M81" s="24">
        <f t="shared" si="32"/>
        <v>0.34394000000000002</v>
      </c>
      <c r="N81" s="23">
        <f>409.04</f>
        <v>409.04</v>
      </c>
      <c r="O81" s="23">
        <f>500</f>
        <v>500</v>
      </c>
      <c r="P81" s="23">
        <f t="shared" si="33"/>
        <v>-90.95999999999998</v>
      </c>
      <c r="Q81" s="24">
        <f t="shared" si="34"/>
        <v>0.81808000000000003</v>
      </c>
      <c r="R81" s="23">
        <f>312.93</f>
        <v>312.93</v>
      </c>
      <c r="S81" s="23">
        <f>500</f>
        <v>500</v>
      </c>
      <c r="T81" s="23">
        <f t="shared" si="35"/>
        <v>-187.07</v>
      </c>
      <c r="U81" s="24">
        <f t="shared" si="36"/>
        <v>0.62585999999999997</v>
      </c>
      <c r="V81" s="23">
        <f>190.38</f>
        <v>190.38</v>
      </c>
      <c r="W81" s="23">
        <f>500</f>
        <v>500</v>
      </c>
      <c r="X81" s="23">
        <f t="shared" si="37"/>
        <v>-309.62</v>
      </c>
      <c r="Y81" s="24">
        <f t="shared" si="38"/>
        <v>0.38075999999999999</v>
      </c>
      <c r="Z81" s="22"/>
      <c r="AA81" s="23">
        <f>500</f>
        <v>500</v>
      </c>
      <c r="AB81" s="23">
        <f t="shared" si="39"/>
        <v>-500</v>
      </c>
      <c r="AC81" s="24">
        <f t="shared" si="40"/>
        <v>0</v>
      </c>
      <c r="AD81" s="23">
        <f>1500.22</f>
        <v>1500.22</v>
      </c>
      <c r="AE81" s="23">
        <f>500</f>
        <v>500</v>
      </c>
      <c r="AF81" s="23">
        <f t="shared" si="41"/>
        <v>1000.22</v>
      </c>
      <c r="AG81" s="24">
        <f t="shared" si="42"/>
        <v>3.0004400000000002</v>
      </c>
      <c r="AH81" s="23">
        <f>77.51</f>
        <v>77.510000000000005</v>
      </c>
      <c r="AI81" s="23">
        <f>500</f>
        <v>500</v>
      </c>
      <c r="AJ81" s="23">
        <f t="shared" si="43"/>
        <v>-422.49</v>
      </c>
      <c r="AK81" s="24">
        <f t="shared" si="44"/>
        <v>0.15502000000000002</v>
      </c>
      <c r="AL81" s="23">
        <f>331.56</f>
        <v>331.56</v>
      </c>
      <c r="AM81" s="23">
        <f>500</f>
        <v>500</v>
      </c>
      <c r="AN81" s="23">
        <f t="shared" si="45"/>
        <v>-168.44</v>
      </c>
      <c r="AO81" s="24">
        <f t="shared" si="46"/>
        <v>0.66312000000000004</v>
      </c>
      <c r="AP81" s="22"/>
      <c r="AQ81" s="23">
        <f>500</f>
        <v>500</v>
      </c>
      <c r="AR81" s="23">
        <f t="shared" si="47"/>
        <v>-500</v>
      </c>
      <c r="AS81" s="24">
        <f t="shared" si="48"/>
        <v>0</v>
      </c>
      <c r="AT81" s="22"/>
      <c r="AU81" s="23">
        <f>500</f>
        <v>500</v>
      </c>
      <c r="AV81" s="23">
        <f t="shared" si="49"/>
        <v>-500</v>
      </c>
      <c r="AW81" s="24">
        <f t="shared" si="50"/>
        <v>0</v>
      </c>
      <c r="AX81" s="23">
        <f t="shared" si="54"/>
        <v>3947.32</v>
      </c>
      <c r="AY81" s="23">
        <f t="shared" si="54"/>
        <v>6000</v>
      </c>
      <c r="AZ81" s="23">
        <f t="shared" si="52"/>
        <v>-2052.6799999999998</v>
      </c>
      <c r="BA81" s="24">
        <f t="shared" si="53"/>
        <v>0.65788666666666673</v>
      </c>
    </row>
    <row r="82" spans="1:53" x14ac:dyDescent="0.3">
      <c r="A82" s="21" t="s">
        <v>154</v>
      </c>
      <c r="B82" s="23">
        <f>148.83</f>
        <v>148.83000000000001</v>
      </c>
      <c r="C82" s="23">
        <f>291.67</f>
        <v>291.67</v>
      </c>
      <c r="D82" s="23">
        <f t="shared" si="27"/>
        <v>-142.84</v>
      </c>
      <c r="E82" s="24">
        <f t="shared" si="28"/>
        <v>0.51026845407481058</v>
      </c>
      <c r="F82" s="23">
        <f>67.35</f>
        <v>67.349999999999994</v>
      </c>
      <c r="G82" s="23">
        <f>291.67</f>
        <v>291.67</v>
      </c>
      <c r="H82" s="23">
        <f t="shared" si="29"/>
        <v>-224.32000000000002</v>
      </c>
      <c r="I82" s="24">
        <f t="shared" si="30"/>
        <v>0.23091164672403741</v>
      </c>
      <c r="J82" s="23">
        <f>85.66</f>
        <v>85.66</v>
      </c>
      <c r="K82" s="23">
        <f>291.67</f>
        <v>291.67</v>
      </c>
      <c r="L82" s="23">
        <f t="shared" si="31"/>
        <v>-206.01000000000002</v>
      </c>
      <c r="M82" s="24">
        <f t="shared" si="32"/>
        <v>0.29368807213631842</v>
      </c>
      <c r="N82" s="23">
        <f>27.54</f>
        <v>27.54</v>
      </c>
      <c r="O82" s="23">
        <f>291.67</f>
        <v>291.67</v>
      </c>
      <c r="P82" s="23">
        <f t="shared" si="33"/>
        <v>-264.13</v>
      </c>
      <c r="Q82" s="24">
        <f t="shared" si="34"/>
        <v>9.4421778036822432E-2</v>
      </c>
      <c r="R82" s="23">
        <f>256.73</f>
        <v>256.73</v>
      </c>
      <c r="S82" s="23">
        <f>291.67</f>
        <v>291.67</v>
      </c>
      <c r="T82" s="23">
        <f t="shared" si="35"/>
        <v>-34.94</v>
      </c>
      <c r="U82" s="24">
        <f t="shared" si="36"/>
        <v>0.88020708334761888</v>
      </c>
      <c r="V82" s="23">
        <f>78.46</f>
        <v>78.459999999999994</v>
      </c>
      <c r="W82" s="23">
        <f>291.67</f>
        <v>291.67</v>
      </c>
      <c r="X82" s="23">
        <f t="shared" si="37"/>
        <v>-213.21000000000004</v>
      </c>
      <c r="Y82" s="24">
        <f t="shared" si="38"/>
        <v>0.26900263996982887</v>
      </c>
      <c r="Z82" s="23">
        <f>4.63</f>
        <v>4.63</v>
      </c>
      <c r="AA82" s="23">
        <f>291.67</f>
        <v>291.67</v>
      </c>
      <c r="AB82" s="23">
        <f t="shared" si="39"/>
        <v>-287.04000000000002</v>
      </c>
      <c r="AC82" s="24">
        <f t="shared" si="40"/>
        <v>1.5874104295950903E-2</v>
      </c>
      <c r="AD82" s="23">
        <f>31.67</f>
        <v>31.67</v>
      </c>
      <c r="AE82" s="23">
        <f>291.67</f>
        <v>291.67</v>
      </c>
      <c r="AF82" s="23">
        <f t="shared" si="41"/>
        <v>-260</v>
      </c>
      <c r="AG82" s="24">
        <f t="shared" si="42"/>
        <v>0.10858161621010046</v>
      </c>
      <c r="AH82" s="23">
        <f>166.35</f>
        <v>166.35</v>
      </c>
      <c r="AI82" s="23">
        <f>291.67</f>
        <v>291.67</v>
      </c>
      <c r="AJ82" s="23">
        <f t="shared" si="43"/>
        <v>-125.32000000000002</v>
      </c>
      <c r="AK82" s="24">
        <f t="shared" si="44"/>
        <v>0.57033633901326841</v>
      </c>
      <c r="AL82" s="23">
        <f>384.32</f>
        <v>384.32</v>
      </c>
      <c r="AM82" s="23">
        <f>291.67</f>
        <v>291.67</v>
      </c>
      <c r="AN82" s="23">
        <f t="shared" si="45"/>
        <v>92.649999999999977</v>
      </c>
      <c r="AO82" s="24">
        <f t="shared" si="46"/>
        <v>1.3176535125312852</v>
      </c>
      <c r="AP82" s="22"/>
      <c r="AQ82" s="23">
        <f>291.67</f>
        <v>291.67</v>
      </c>
      <c r="AR82" s="23">
        <f t="shared" si="47"/>
        <v>-291.67</v>
      </c>
      <c r="AS82" s="24">
        <f t="shared" si="48"/>
        <v>0</v>
      </c>
      <c r="AT82" s="22"/>
      <c r="AU82" s="23">
        <f>291.63</f>
        <v>291.63</v>
      </c>
      <c r="AV82" s="23">
        <f t="shared" si="49"/>
        <v>-291.63</v>
      </c>
      <c r="AW82" s="24">
        <f t="shared" si="50"/>
        <v>0</v>
      </c>
      <c r="AX82" s="23">
        <f t="shared" si="54"/>
        <v>1251.5400000000002</v>
      </c>
      <c r="AY82" s="23">
        <f t="shared" si="54"/>
        <v>3500.0000000000005</v>
      </c>
      <c r="AZ82" s="23">
        <f t="shared" si="52"/>
        <v>-2248.46</v>
      </c>
      <c r="BA82" s="24">
        <f t="shared" si="53"/>
        <v>0.35758285714285715</v>
      </c>
    </row>
    <row r="83" spans="1:53" x14ac:dyDescent="0.3">
      <c r="A83" s="21" t="s">
        <v>155</v>
      </c>
      <c r="B83" s="22"/>
      <c r="C83" s="23">
        <f>833.33</f>
        <v>833.33</v>
      </c>
      <c r="D83" s="23">
        <f t="shared" si="27"/>
        <v>-833.33</v>
      </c>
      <c r="E83" s="24">
        <f t="shared" si="28"/>
        <v>0</v>
      </c>
      <c r="F83" s="23">
        <f>562.99</f>
        <v>562.99</v>
      </c>
      <c r="G83" s="23">
        <f>833.33</f>
        <v>833.33</v>
      </c>
      <c r="H83" s="23">
        <f t="shared" si="29"/>
        <v>-270.34000000000003</v>
      </c>
      <c r="I83" s="24">
        <f t="shared" si="30"/>
        <v>0.67559070236280938</v>
      </c>
      <c r="J83" s="23">
        <f>237.92</f>
        <v>237.92</v>
      </c>
      <c r="K83" s="23">
        <f>833.33</f>
        <v>833.33</v>
      </c>
      <c r="L83" s="23">
        <f t="shared" si="31"/>
        <v>-595.41000000000008</v>
      </c>
      <c r="M83" s="24">
        <f t="shared" si="32"/>
        <v>0.28550514202056804</v>
      </c>
      <c r="N83" s="23">
        <f>612.99</f>
        <v>612.99</v>
      </c>
      <c r="O83" s="23">
        <f>833.33</f>
        <v>833.33</v>
      </c>
      <c r="P83" s="23">
        <f t="shared" si="33"/>
        <v>-220.34000000000003</v>
      </c>
      <c r="Q83" s="24">
        <f t="shared" si="34"/>
        <v>0.73559094236376943</v>
      </c>
      <c r="R83" s="23">
        <f>684.11</f>
        <v>684.11</v>
      </c>
      <c r="S83" s="23">
        <f>833.33</f>
        <v>833.33</v>
      </c>
      <c r="T83" s="23">
        <f t="shared" si="35"/>
        <v>-149.22000000000003</v>
      </c>
      <c r="U83" s="24">
        <f t="shared" si="36"/>
        <v>0.82093528374113489</v>
      </c>
      <c r="V83" s="23">
        <f>147.5</f>
        <v>147.5</v>
      </c>
      <c r="W83" s="23">
        <f>833.33</f>
        <v>833.33</v>
      </c>
      <c r="X83" s="23">
        <f t="shared" si="37"/>
        <v>-685.83</v>
      </c>
      <c r="Y83" s="24">
        <f t="shared" si="38"/>
        <v>0.17700070800283199</v>
      </c>
      <c r="Z83" s="23">
        <f>29.94</f>
        <v>29.94</v>
      </c>
      <c r="AA83" s="23">
        <f>833.33</f>
        <v>833.33</v>
      </c>
      <c r="AB83" s="23">
        <f t="shared" si="39"/>
        <v>-803.39</v>
      </c>
      <c r="AC83" s="24">
        <f t="shared" si="40"/>
        <v>3.5928143712574849E-2</v>
      </c>
      <c r="AD83" s="23">
        <f>100.25</f>
        <v>100.25</v>
      </c>
      <c r="AE83" s="23">
        <f>833.33</f>
        <v>833.33</v>
      </c>
      <c r="AF83" s="23">
        <f t="shared" si="41"/>
        <v>-733.08</v>
      </c>
      <c r="AG83" s="24">
        <f t="shared" si="42"/>
        <v>0.1203004812019248</v>
      </c>
      <c r="AH83" s="23">
        <f>272.34</f>
        <v>272.33999999999997</v>
      </c>
      <c r="AI83" s="23">
        <f>833.33</f>
        <v>833.33</v>
      </c>
      <c r="AJ83" s="23">
        <f t="shared" si="43"/>
        <v>-560.99</v>
      </c>
      <c r="AK83" s="24">
        <f t="shared" si="44"/>
        <v>0.3268093072372289</v>
      </c>
      <c r="AL83" s="22"/>
      <c r="AM83" s="23">
        <f>833.33</f>
        <v>833.33</v>
      </c>
      <c r="AN83" s="23">
        <f t="shared" si="45"/>
        <v>-833.33</v>
      </c>
      <c r="AO83" s="24">
        <f t="shared" si="46"/>
        <v>0</v>
      </c>
      <c r="AP83" s="22"/>
      <c r="AQ83" s="23">
        <f>833.33</f>
        <v>833.33</v>
      </c>
      <c r="AR83" s="23">
        <f t="shared" si="47"/>
        <v>-833.33</v>
      </c>
      <c r="AS83" s="24">
        <f t="shared" si="48"/>
        <v>0</v>
      </c>
      <c r="AT83" s="22"/>
      <c r="AU83" s="23">
        <f>833.37</f>
        <v>833.37</v>
      </c>
      <c r="AV83" s="23">
        <f t="shared" si="49"/>
        <v>-833.37</v>
      </c>
      <c r="AW83" s="24">
        <f t="shared" si="50"/>
        <v>0</v>
      </c>
      <c r="AX83" s="23">
        <f t="shared" si="54"/>
        <v>2648.0400000000004</v>
      </c>
      <c r="AY83" s="23">
        <f t="shared" si="54"/>
        <v>10000.000000000002</v>
      </c>
      <c r="AZ83" s="23">
        <f t="shared" si="52"/>
        <v>-7351.9600000000009</v>
      </c>
      <c r="BA83" s="24">
        <f t="shared" si="53"/>
        <v>0.26480399999999998</v>
      </c>
    </row>
    <row r="84" spans="1:53" x14ac:dyDescent="0.3">
      <c r="A84" s="21" t="s">
        <v>156</v>
      </c>
      <c r="B84" s="22"/>
      <c r="C84" s="23">
        <f>166.67</f>
        <v>166.67</v>
      </c>
      <c r="D84" s="23">
        <f t="shared" si="27"/>
        <v>-166.67</v>
      </c>
      <c r="E84" s="24">
        <f t="shared" si="28"/>
        <v>0</v>
      </c>
      <c r="F84" s="22"/>
      <c r="G84" s="23">
        <f>166.67</f>
        <v>166.67</v>
      </c>
      <c r="H84" s="23">
        <f t="shared" si="29"/>
        <v>-166.67</v>
      </c>
      <c r="I84" s="24">
        <f t="shared" si="30"/>
        <v>0</v>
      </c>
      <c r="J84" s="22"/>
      <c r="K84" s="23">
        <f>166.67</f>
        <v>166.67</v>
      </c>
      <c r="L84" s="23">
        <f t="shared" si="31"/>
        <v>-166.67</v>
      </c>
      <c r="M84" s="24">
        <f t="shared" si="32"/>
        <v>0</v>
      </c>
      <c r="N84" s="22"/>
      <c r="O84" s="23">
        <f>166.67</f>
        <v>166.67</v>
      </c>
      <c r="P84" s="23">
        <f t="shared" si="33"/>
        <v>-166.67</v>
      </c>
      <c r="Q84" s="24">
        <f t="shared" si="34"/>
        <v>0</v>
      </c>
      <c r="R84" s="22"/>
      <c r="S84" s="23">
        <f>166.67</f>
        <v>166.67</v>
      </c>
      <c r="T84" s="23">
        <f t="shared" si="35"/>
        <v>-166.67</v>
      </c>
      <c r="U84" s="24">
        <f t="shared" si="36"/>
        <v>0</v>
      </c>
      <c r="V84" s="23">
        <f>73.54</f>
        <v>73.540000000000006</v>
      </c>
      <c r="W84" s="23">
        <f>166.67</f>
        <v>166.67</v>
      </c>
      <c r="X84" s="23">
        <f t="shared" si="37"/>
        <v>-93.129999999999981</v>
      </c>
      <c r="Y84" s="24">
        <f t="shared" si="38"/>
        <v>0.44123117537649253</v>
      </c>
      <c r="Z84" s="23">
        <f>23.1</f>
        <v>23.1</v>
      </c>
      <c r="AA84" s="23">
        <f>166.67</f>
        <v>166.67</v>
      </c>
      <c r="AB84" s="23">
        <f t="shared" si="39"/>
        <v>-143.57</v>
      </c>
      <c r="AC84" s="24">
        <f t="shared" si="40"/>
        <v>0.13859722805543892</v>
      </c>
      <c r="AD84" s="22"/>
      <c r="AE84" s="23">
        <f>166.67</f>
        <v>166.67</v>
      </c>
      <c r="AF84" s="23">
        <f t="shared" si="41"/>
        <v>-166.67</v>
      </c>
      <c r="AG84" s="24">
        <f t="shared" si="42"/>
        <v>0</v>
      </c>
      <c r="AH84" s="23">
        <f>995.42</f>
        <v>995.42</v>
      </c>
      <c r="AI84" s="23">
        <f>166.67</f>
        <v>166.67</v>
      </c>
      <c r="AJ84" s="23">
        <f t="shared" si="43"/>
        <v>828.75</v>
      </c>
      <c r="AK84" s="24">
        <f t="shared" si="44"/>
        <v>5.9724005519889607</v>
      </c>
      <c r="AL84" s="23">
        <f>537.14</f>
        <v>537.14</v>
      </c>
      <c r="AM84" s="23">
        <f>166.67</f>
        <v>166.67</v>
      </c>
      <c r="AN84" s="23">
        <f t="shared" si="45"/>
        <v>370.47</v>
      </c>
      <c r="AO84" s="24">
        <f t="shared" si="46"/>
        <v>3.2227755444891102</v>
      </c>
      <c r="AP84" s="22"/>
      <c r="AQ84" s="23">
        <f>166.67</f>
        <v>166.67</v>
      </c>
      <c r="AR84" s="23">
        <f t="shared" si="47"/>
        <v>-166.67</v>
      </c>
      <c r="AS84" s="24">
        <f t="shared" si="48"/>
        <v>0</v>
      </c>
      <c r="AT84" s="22"/>
      <c r="AU84" s="23">
        <f>166.63</f>
        <v>166.63</v>
      </c>
      <c r="AV84" s="23">
        <f t="shared" si="49"/>
        <v>-166.63</v>
      </c>
      <c r="AW84" s="24">
        <f t="shared" si="50"/>
        <v>0</v>
      </c>
      <c r="AX84" s="23">
        <f t="shared" si="54"/>
        <v>1629.1999999999998</v>
      </c>
      <c r="AY84" s="23">
        <f t="shared" si="54"/>
        <v>2000</v>
      </c>
      <c r="AZ84" s="23">
        <f t="shared" si="52"/>
        <v>-370.80000000000018</v>
      </c>
      <c r="BA84" s="24">
        <f t="shared" si="53"/>
        <v>0.81459999999999988</v>
      </c>
    </row>
    <row r="85" spans="1:53" x14ac:dyDescent="0.3">
      <c r="A85" s="21" t="s">
        <v>157</v>
      </c>
      <c r="B85" s="25">
        <f>((((B80)+(B81))+(B82))+(B83))+(B84)</f>
        <v>790.53000000000009</v>
      </c>
      <c r="C85" s="25">
        <f>((((C80)+(C81))+(C82))+(C83))+(C84)</f>
        <v>1791.67</v>
      </c>
      <c r="D85" s="25">
        <f t="shared" ref="D85:D102" si="55">(B85)-(C85)</f>
        <v>-1001.14</v>
      </c>
      <c r="E85" s="26">
        <f t="shared" ref="E85:E102" si="56">IF(C85=0,"",(B85)/(C85))</f>
        <v>0.44122522562748723</v>
      </c>
      <c r="F85" s="25">
        <f>((((F80)+(F81))+(F82))+(F83))+(F84)</f>
        <v>942.35</v>
      </c>
      <c r="G85" s="25">
        <f>((((G80)+(G81))+(G82))+(G83))+(G84)</f>
        <v>1791.67</v>
      </c>
      <c r="H85" s="25">
        <f t="shared" ref="H85:H102" si="57">(F85)-(G85)</f>
        <v>-849.32</v>
      </c>
      <c r="I85" s="26">
        <f t="shared" ref="I85:I102" si="58">IF(G85=0,"",(F85)/(G85))</f>
        <v>0.52596181216407034</v>
      </c>
      <c r="J85" s="25">
        <f>((((J80)+(J81))+(J82))+(J83))+(J84)</f>
        <v>495.54999999999995</v>
      </c>
      <c r="K85" s="25">
        <f>((((K80)+(K81))+(K82))+(K83))+(K84)</f>
        <v>1791.67</v>
      </c>
      <c r="L85" s="25">
        <f t="shared" ref="L85:L102" si="59">(J85)-(K85)</f>
        <v>-1296.1200000000001</v>
      </c>
      <c r="M85" s="26">
        <f t="shared" ref="M85:M102" si="60">IF(K85=0,"",(J85)/(K85))</f>
        <v>0.27658553193389401</v>
      </c>
      <c r="N85" s="25">
        <f>((((N80)+(N81))+(N82))+(N83))+(N84)</f>
        <v>1049.5700000000002</v>
      </c>
      <c r="O85" s="25">
        <f>((((O80)+(O81))+(O82))+(O83))+(O84)</f>
        <v>1791.67</v>
      </c>
      <c r="P85" s="25">
        <f t="shared" ref="P85:P102" si="61">(N85)-(O85)</f>
        <v>-742.09999999999991</v>
      </c>
      <c r="Q85" s="26">
        <f t="shared" ref="Q85:Q102" si="62">IF(O85=0,"",(N85)/(O85))</f>
        <v>0.58580542175735495</v>
      </c>
      <c r="R85" s="25">
        <f>((((R80)+(R81))+(R82))+(R83))+(R84)</f>
        <v>1253.77</v>
      </c>
      <c r="S85" s="25">
        <f>((((S80)+(S81))+(S82))+(S83))+(S84)</f>
        <v>1791.67</v>
      </c>
      <c r="T85" s="25">
        <f t="shared" ref="T85:T102" si="63">(R85)-(S85)</f>
        <v>-537.90000000000009</v>
      </c>
      <c r="U85" s="26">
        <f t="shared" ref="U85:U102" si="64">IF(S85=0,"",(R85)/(S85))</f>
        <v>0.6997773027399018</v>
      </c>
      <c r="V85" s="25">
        <f>((((V80)+(V81))+(V82))+(V83))+(V84)</f>
        <v>489.88</v>
      </c>
      <c r="W85" s="25">
        <f>((((W80)+(W81))+(W82))+(W83))+(W84)</f>
        <v>1791.67</v>
      </c>
      <c r="X85" s="25">
        <f t="shared" ref="X85:X102" si="65">(V85)-(W85)</f>
        <v>-1301.79</v>
      </c>
      <c r="Y85" s="26">
        <f t="shared" ref="Y85:Y102" si="66">IF(W85=0,"",(V85)/(W85))</f>
        <v>0.27342088665881553</v>
      </c>
      <c r="Z85" s="25">
        <f>((((Z80)+(Z81))+(Z82))+(Z83))+(Z84)</f>
        <v>57.67</v>
      </c>
      <c r="AA85" s="25">
        <f>((((AA80)+(AA81))+(AA82))+(AA83))+(AA84)</f>
        <v>1791.67</v>
      </c>
      <c r="AB85" s="25">
        <f t="shared" ref="AB85:AB102" si="67">(Z85)-(AA85)</f>
        <v>-1734</v>
      </c>
      <c r="AC85" s="26">
        <f t="shared" ref="AC85:AC102" si="68">IF(AA85=0,"",(Z85)/(AA85))</f>
        <v>3.21878470923775E-2</v>
      </c>
      <c r="AD85" s="25">
        <f>((((AD80)+(AD81))+(AD82))+(AD83))+(AD84)</f>
        <v>1632.14</v>
      </c>
      <c r="AE85" s="25">
        <f>((((AE80)+(AE81))+(AE82))+(AE83))+(AE84)</f>
        <v>1791.67</v>
      </c>
      <c r="AF85" s="25">
        <f t="shared" ref="AF85:AF102" si="69">(AD85)-(AE85)</f>
        <v>-159.52999999999997</v>
      </c>
      <c r="AG85" s="26">
        <f t="shared" ref="AG85:AG102" si="70">IF(AE85=0,"",(AD85)/(AE85))</f>
        <v>0.91096016565550575</v>
      </c>
      <c r="AH85" s="25">
        <f>((((AH80)+(AH81))+(AH82))+(AH83))+(AH84)</f>
        <v>1511.62</v>
      </c>
      <c r="AI85" s="25">
        <f>((((AI80)+(AI81))+(AI82))+(AI83))+(AI84)</f>
        <v>1791.67</v>
      </c>
      <c r="AJ85" s="25">
        <f t="shared" ref="AJ85:AJ102" si="71">(AH85)-(AI85)</f>
        <v>-280.05000000000018</v>
      </c>
      <c r="AK85" s="26">
        <f t="shared" ref="AK85:AK102" si="72">IF(AI85=0,"",(AH85)/(AI85))</f>
        <v>0.84369331405895054</v>
      </c>
      <c r="AL85" s="25">
        <f>((((AL80)+(AL81))+(AL82))+(AL83))+(AL84)</f>
        <v>1253.02</v>
      </c>
      <c r="AM85" s="25">
        <f>((((AM80)+(AM81))+(AM82))+(AM83))+(AM84)</f>
        <v>1791.67</v>
      </c>
      <c r="AN85" s="25">
        <f t="shared" ref="AN85:AN102" si="73">(AL85)-(AM85)</f>
        <v>-538.65000000000009</v>
      </c>
      <c r="AO85" s="26">
        <f t="shared" ref="AO85:AO102" si="74">IF(AM85=0,"",(AL85)/(AM85))</f>
        <v>0.69935869886753699</v>
      </c>
      <c r="AP85" s="25">
        <f>((((AP80)+(AP81))+(AP82))+(AP83))+(AP84)</f>
        <v>0</v>
      </c>
      <c r="AQ85" s="25">
        <f>((((AQ80)+(AQ81))+(AQ82))+(AQ83))+(AQ84)</f>
        <v>1791.67</v>
      </c>
      <c r="AR85" s="25">
        <f t="shared" ref="AR85:AR102" si="75">(AP85)-(AQ85)</f>
        <v>-1791.67</v>
      </c>
      <c r="AS85" s="26">
        <f t="shared" ref="AS85:AS102" si="76">IF(AQ85=0,"",(AP85)/(AQ85))</f>
        <v>0</v>
      </c>
      <c r="AT85" s="25">
        <f>((((AT80)+(AT81))+(AT82))+(AT83))+(AT84)</f>
        <v>0</v>
      </c>
      <c r="AU85" s="25">
        <f>((((AU80)+(AU81))+(AU82))+(AU83))+(AU84)</f>
        <v>1791.63</v>
      </c>
      <c r="AV85" s="25">
        <f t="shared" ref="AV85:AV102" si="77">(AT85)-(AU85)</f>
        <v>-1791.63</v>
      </c>
      <c r="AW85" s="26">
        <f t="shared" ref="AW85:AW102" si="78">IF(AU85=0,"",(AT85)/(AU85))</f>
        <v>0</v>
      </c>
      <c r="AX85" s="25">
        <f t="shared" ref="AX85:AY102" si="79">(((((((((((B85)+(F85))+(J85))+(N85))+(R85))+(V85))+(Z85))+(AD85))+(AH85))+(AL85))+(AP85))+(AT85)</f>
        <v>9476.1000000000022</v>
      </c>
      <c r="AY85" s="25">
        <f t="shared" si="79"/>
        <v>21500.000000000004</v>
      </c>
      <c r="AZ85" s="25">
        <f t="shared" ref="AZ85:AZ102" si="80">(AX85)-(AY85)</f>
        <v>-12023.900000000001</v>
      </c>
      <c r="BA85" s="26">
        <f t="shared" ref="BA85:BA102" si="81">IF(AY85=0,"",(AX85)/(AY85))</f>
        <v>0.44074883720930236</v>
      </c>
    </row>
    <row r="86" spans="1:53" x14ac:dyDescent="0.3">
      <c r="A86" s="21" t="s">
        <v>158</v>
      </c>
      <c r="B86" s="23">
        <f>472.05</f>
        <v>472.05</v>
      </c>
      <c r="C86" s="23">
        <f>1666.67</f>
        <v>1666.67</v>
      </c>
      <c r="D86" s="23">
        <f t="shared" si="55"/>
        <v>-1194.6200000000001</v>
      </c>
      <c r="E86" s="24">
        <f t="shared" si="56"/>
        <v>0.28322943354113289</v>
      </c>
      <c r="F86" s="23">
        <f>6733.79</f>
        <v>6733.79</v>
      </c>
      <c r="G86" s="23">
        <f>1666.67</f>
        <v>1666.67</v>
      </c>
      <c r="H86" s="23">
        <f t="shared" si="57"/>
        <v>5067.12</v>
      </c>
      <c r="I86" s="24">
        <f t="shared" si="58"/>
        <v>4.0402659194681609</v>
      </c>
      <c r="J86" s="23">
        <f>1032.52</f>
        <v>1032.52</v>
      </c>
      <c r="K86" s="23">
        <f>1666.67</f>
        <v>1666.67</v>
      </c>
      <c r="L86" s="23">
        <f t="shared" si="59"/>
        <v>-634.15000000000009</v>
      </c>
      <c r="M86" s="24">
        <f t="shared" si="60"/>
        <v>0.61951076097847801</v>
      </c>
      <c r="N86" s="23">
        <f>3635.2</f>
        <v>3635.2</v>
      </c>
      <c r="O86" s="23">
        <f>1666.67</f>
        <v>1666.67</v>
      </c>
      <c r="P86" s="23">
        <f t="shared" si="61"/>
        <v>1968.5299999999997</v>
      </c>
      <c r="Q86" s="24">
        <f t="shared" si="62"/>
        <v>2.1811156377687242</v>
      </c>
      <c r="R86" s="23">
        <f>870.42</f>
        <v>870.42</v>
      </c>
      <c r="S86" s="23">
        <f>1666.67</f>
        <v>1666.67</v>
      </c>
      <c r="T86" s="23">
        <f t="shared" si="63"/>
        <v>-796.25000000000011</v>
      </c>
      <c r="U86" s="24">
        <f t="shared" si="64"/>
        <v>0.52225095549808898</v>
      </c>
      <c r="V86" s="23">
        <f>5395.76</f>
        <v>5395.76</v>
      </c>
      <c r="W86" s="23">
        <f>1666.67</f>
        <v>1666.67</v>
      </c>
      <c r="X86" s="23">
        <f t="shared" si="65"/>
        <v>3729.09</v>
      </c>
      <c r="Y86" s="24">
        <f t="shared" si="66"/>
        <v>3.2374495251009496</v>
      </c>
      <c r="Z86" s="22"/>
      <c r="AA86" s="23">
        <f>1666.67</f>
        <v>1666.67</v>
      </c>
      <c r="AB86" s="23">
        <f t="shared" si="67"/>
        <v>-1666.67</v>
      </c>
      <c r="AC86" s="24">
        <f t="shared" si="68"/>
        <v>0</v>
      </c>
      <c r="AD86" s="23">
        <f>100.78</f>
        <v>100.78</v>
      </c>
      <c r="AE86" s="23">
        <f>1666.67</f>
        <v>1666.67</v>
      </c>
      <c r="AF86" s="23">
        <f t="shared" si="69"/>
        <v>-1565.89</v>
      </c>
      <c r="AG86" s="24">
        <f t="shared" si="70"/>
        <v>6.0467879064241871E-2</v>
      </c>
      <c r="AH86" s="22"/>
      <c r="AI86" s="23">
        <f>1666.67</f>
        <v>1666.67</v>
      </c>
      <c r="AJ86" s="23">
        <f t="shared" si="71"/>
        <v>-1666.67</v>
      </c>
      <c r="AK86" s="24">
        <f t="shared" si="72"/>
        <v>0</v>
      </c>
      <c r="AL86" s="22"/>
      <c r="AM86" s="23">
        <f>1666.67</f>
        <v>1666.67</v>
      </c>
      <c r="AN86" s="23">
        <f t="shared" si="73"/>
        <v>-1666.67</v>
      </c>
      <c r="AO86" s="24">
        <f t="shared" si="74"/>
        <v>0</v>
      </c>
      <c r="AP86" s="22"/>
      <c r="AQ86" s="23">
        <f>1666.67</f>
        <v>1666.67</v>
      </c>
      <c r="AR86" s="23">
        <f t="shared" si="75"/>
        <v>-1666.67</v>
      </c>
      <c r="AS86" s="24">
        <f t="shared" si="76"/>
        <v>0</v>
      </c>
      <c r="AT86" s="22"/>
      <c r="AU86" s="23">
        <f>1666.63</f>
        <v>1666.63</v>
      </c>
      <c r="AV86" s="23">
        <f t="shared" si="77"/>
        <v>-1666.63</v>
      </c>
      <c r="AW86" s="24">
        <f t="shared" si="78"/>
        <v>0</v>
      </c>
      <c r="AX86" s="23">
        <f t="shared" si="79"/>
        <v>18240.52</v>
      </c>
      <c r="AY86" s="23">
        <f t="shared" si="79"/>
        <v>20000.000000000004</v>
      </c>
      <c r="AZ86" s="23">
        <f t="shared" si="80"/>
        <v>-1759.4800000000032</v>
      </c>
      <c r="BA86" s="24">
        <f t="shared" si="81"/>
        <v>0.91202599999999989</v>
      </c>
    </row>
    <row r="87" spans="1:53" x14ac:dyDescent="0.3">
      <c r="A87" s="21" t="s">
        <v>159</v>
      </c>
      <c r="B87" s="22"/>
      <c r="C87" s="22"/>
      <c r="D87" s="23">
        <f t="shared" si="55"/>
        <v>0</v>
      </c>
      <c r="E87" s="24" t="str">
        <f t="shared" si="56"/>
        <v/>
      </c>
      <c r="F87" s="22"/>
      <c r="G87" s="22"/>
      <c r="H87" s="23">
        <f t="shared" si="57"/>
        <v>0</v>
      </c>
      <c r="I87" s="24" t="str">
        <f t="shared" si="58"/>
        <v/>
      </c>
      <c r="J87" s="22"/>
      <c r="K87" s="22"/>
      <c r="L87" s="23">
        <f t="shared" si="59"/>
        <v>0</v>
      </c>
      <c r="M87" s="24" t="str">
        <f t="shared" si="60"/>
        <v/>
      </c>
      <c r="N87" s="22"/>
      <c r="O87" s="22"/>
      <c r="P87" s="23">
        <f t="shared" si="61"/>
        <v>0</v>
      </c>
      <c r="Q87" s="24" t="str">
        <f t="shared" si="62"/>
        <v/>
      </c>
      <c r="R87" s="22"/>
      <c r="S87" s="22"/>
      <c r="T87" s="23">
        <f t="shared" si="63"/>
        <v>0</v>
      </c>
      <c r="U87" s="24" t="str">
        <f t="shared" si="64"/>
        <v/>
      </c>
      <c r="V87" s="22"/>
      <c r="W87" s="22"/>
      <c r="X87" s="23">
        <f t="shared" si="65"/>
        <v>0</v>
      </c>
      <c r="Y87" s="24" t="str">
        <f t="shared" si="66"/>
        <v/>
      </c>
      <c r="Z87" s="22"/>
      <c r="AA87" s="22"/>
      <c r="AB87" s="23">
        <f t="shared" si="67"/>
        <v>0</v>
      </c>
      <c r="AC87" s="24" t="str">
        <f t="shared" si="68"/>
        <v/>
      </c>
      <c r="AD87" s="22"/>
      <c r="AE87" s="22"/>
      <c r="AF87" s="23">
        <f t="shared" si="69"/>
        <v>0</v>
      </c>
      <c r="AG87" s="24" t="str">
        <f t="shared" si="70"/>
        <v/>
      </c>
      <c r="AH87" s="22"/>
      <c r="AI87" s="22"/>
      <c r="AJ87" s="23">
        <f t="shared" si="71"/>
        <v>0</v>
      </c>
      <c r="AK87" s="24" t="str">
        <f t="shared" si="72"/>
        <v/>
      </c>
      <c r="AL87" s="22"/>
      <c r="AM87" s="22"/>
      <c r="AN87" s="23">
        <f t="shared" si="73"/>
        <v>0</v>
      </c>
      <c r="AO87" s="24" t="str">
        <f t="shared" si="74"/>
        <v/>
      </c>
      <c r="AP87" s="22"/>
      <c r="AQ87" s="22"/>
      <c r="AR87" s="23">
        <f t="shared" si="75"/>
        <v>0</v>
      </c>
      <c r="AS87" s="24" t="str">
        <f t="shared" si="76"/>
        <v/>
      </c>
      <c r="AT87" s="22"/>
      <c r="AU87" s="22"/>
      <c r="AV87" s="23">
        <f t="shared" si="77"/>
        <v>0</v>
      </c>
      <c r="AW87" s="24" t="str">
        <f t="shared" si="78"/>
        <v/>
      </c>
      <c r="AX87" s="23">
        <f t="shared" si="79"/>
        <v>0</v>
      </c>
      <c r="AY87" s="23">
        <f t="shared" si="79"/>
        <v>0</v>
      </c>
      <c r="AZ87" s="23">
        <f t="shared" si="80"/>
        <v>0</v>
      </c>
      <c r="BA87" s="24" t="str">
        <f t="shared" si="81"/>
        <v/>
      </c>
    </row>
    <row r="88" spans="1:53" x14ac:dyDescent="0.3">
      <c r="A88" s="21" t="s">
        <v>160</v>
      </c>
      <c r="B88" s="23">
        <f>2395</f>
        <v>2395</v>
      </c>
      <c r="C88" s="23">
        <f>2395</f>
        <v>2395</v>
      </c>
      <c r="D88" s="23">
        <f t="shared" si="55"/>
        <v>0</v>
      </c>
      <c r="E88" s="24">
        <f t="shared" si="56"/>
        <v>1</v>
      </c>
      <c r="F88" s="23">
        <f>2395</f>
        <v>2395</v>
      </c>
      <c r="G88" s="23">
        <f>2395</f>
        <v>2395</v>
      </c>
      <c r="H88" s="23">
        <f t="shared" si="57"/>
        <v>0</v>
      </c>
      <c r="I88" s="24">
        <f t="shared" si="58"/>
        <v>1</v>
      </c>
      <c r="J88" s="23">
        <f>2395</f>
        <v>2395</v>
      </c>
      <c r="K88" s="23">
        <f>2395</f>
        <v>2395</v>
      </c>
      <c r="L88" s="23">
        <f t="shared" si="59"/>
        <v>0</v>
      </c>
      <c r="M88" s="24">
        <f t="shared" si="60"/>
        <v>1</v>
      </c>
      <c r="N88" s="23">
        <f>2395</f>
        <v>2395</v>
      </c>
      <c r="O88" s="23">
        <f>2395</f>
        <v>2395</v>
      </c>
      <c r="P88" s="23">
        <f t="shared" si="61"/>
        <v>0</v>
      </c>
      <c r="Q88" s="24">
        <f t="shared" si="62"/>
        <v>1</v>
      </c>
      <c r="R88" s="23">
        <f>2395</f>
        <v>2395</v>
      </c>
      <c r="S88" s="23">
        <f>2395</f>
        <v>2395</v>
      </c>
      <c r="T88" s="23">
        <f t="shared" si="63"/>
        <v>0</v>
      </c>
      <c r="U88" s="24">
        <f t="shared" si="64"/>
        <v>1</v>
      </c>
      <c r="V88" s="23">
        <f>2395</f>
        <v>2395</v>
      </c>
      <c r="W88" s="23">
        <f>2395</f>
        <v>2395</v>
      </c>
      <c r="X88" s="23">
        <f t="shared" si="65"/>
        <v>0</v>
      </c>
      <c r="Y88" s="24">
        <f t="shared" si="66"/>
        <v>1</v>
      </c>
      <c r="Z88" s="23">
        <f>2395</f>
        <v>2395</v>
      </c>
      <c r="AA88" s="23">
        <f>2395</f>
        <v>2395</v>
      </c>
      <c r="AB88" s="23">
        <f t="shared" si="67"/>
        <v>0</v>
      </c>
      <c r="AC88" s="24">
        <f t="shared" si="68"/>
        <v>1</v>
      </c>
      <c r="AD88" s="23">
        <f>2395</f>
        <v>2395</v>
      </c>
      <c r="AE88" s="23">
        <f>2395</f>
        <v>2395</v>
      </c>
      <c r="AF88" s="23">
        <f t="shared" si="69"/>
        <v>0</v>
      </c>
      <c r="AG88" s="24">
        <f t="shared" si="70"/>
        <v>1</v>
      </c>
      <c r="AH88" s="23">
        <f>2395</f>
        <v>2395</v>
      </c>
      <c r="AI88" s="23">
        <f>2395</f>
        <v>2395</v>
      </c>
      <c r="AJ88" s="23">
        <f t="shared" si="71"/>
        <v>0</v>
      </c>
      <c r="AK88" s="24">
        <f t="shared" si="72"/>
        <v>1</v>
      </c>
      <c r="AL88" s="23">
        <f>2395</f>
        <v>2395</v>
      </c>
      <c r="AM88" s="23">
        <f>2395</f>
        <v>2395</v>
      </c>
      <c r="AN88" s="23">
        <f t="shared" si="73"/>
        <v>0</v>
      </c>
      <c r="AO88" s="24">
        <f t="shared" si="74"/>
        <v>1</v>
      </c>
      <c r="AP88" s="22"/>
      <c r="AQ88" s="23">
        <f>2395</f>
        <v>2395</v>
      </c>
      <c r="AR88" s="23">
        <f t="shared" si="75"/>
        <v>-2395</v>
      </c>
      <c r="AS88" s="24">
        <f t="shared" si="76"/>
        <v>0</v>
      </c>
      <c r="AT88" s="22"/>
      <c r="AU88" s="23">
        <f>2395</f>
        <v>2395</v>
      </c>
      <c r="AV88" s="23">
        <f t="shared" si="77"/>
        <v>-2395</v>
      </c>
      <c r="AW88" s="24">
        <f t="shared" si="78"/>
        <v>0</v>
      </c>
      <c r="AX88" s="23">
        <f t="shared" si="79"/>
        <v>23950</v>
      </c>
      <c r="AY88" s="23">
        <f t="shared" si="79"/>
        <v>28740</v>
      </c>
      <c r="AZ88" s="23">
        <f t="shared" si="80"/>
        <v>-4790</v>
      </c>
      <c r="BA88" s="24">
        <f t="shared" si="81"/>
        <v>0.83333333333333337</v>
      </c>
    </row>
    <row r="89" spans="1:53" x14ac:dyDescent="0.3">
      <c r="A89" s="21" t="s">
        <v>161</v>
      </c>
      <c r="B89" s="22"/>
      <c r="C89" s="23">
        <f>666.67</f>
        <v>666.67</v>
      </c>
      <c r="D89" s="23">
        <f t="shared" si="55"/>
        <v>-666.67</v>
      </c>
      <c r="E89" s="24">
        <f t="shared" si="56"/>
        <v>0</v>
      </c>
      <c r="F89" s="22"/>
      <c r="G89" s="23">
        <f>666.67</f>
        <v>666.67</v>
      </c>
      <c r="H89" s="23">
        <f t="shared" si="57"/>
        <v>-666.67</v>
      </c>
      <c r="I89" s="24">
        <f t="shared" si="58"/>
        <v>0</v>
      </c>
      <c r="J89" s="23">
        <f>169.8</f>
        <v>169.8</v>
      </c>
      <c r="K89" s="23">
        <f>666.67</f>
        <v>666.67</v>
      </c>
      <c r="L89" s="23">
        <f t="shared" si="59"/>
        <v>-496.86999999999995</v>
      </c>
      <c r="M89" s="24">
        <f t="shared" si="60"/>
        <v>0.25469872650636749</v>
      </c>
      <c r="N89" s="23">
        <f>895</f>
        <v>895</v>
      </c>
      <c r="O89" s="23">
        <f>666.67</f>
        <v>666.67</v>
      </c>
      <c r="P89" s="23">
        <f t="shared" si="61"/>
        <v>228.33000000000004</v>
      </c>
      <c r="Q89" s="24">
        <f t="shared" si="62"/>
        <v>1.3424932875335625</v>
      </c>
      <c r="R89" s="22"/>
      <c r="S89" s="23">
        <f>666.67</f>
        <v>666.67</v>
      </c>
      <c r="T89" s="23">
        <f t="shared" si="63"/>
        <v>-666.67</v>
      </c>
      <c r="U89" s="24">
        <f t="shared" si="64"/>
        <v>0</v>
      </c>
      <c r="V89" s="23">
        <f>359</f>
        <v>359</v>
      </c>
      <c r="W89" s="23">
        <f>666.67</f>
        <v>666.67</v>
      </c>
      <c r="X89" s="23">
        <f t="shared" si="65"/>
        <v>-307.66999999999996</v>
      </c>
      <c r="Y89" s="24">
        <f t="shared" si="66"/>
        <v>0.53849730751346248</v>
      </c>
      <c r="Z89" s="23">
        <f>604.03</f>
        <v>604.03</v>
      </c>
      <c r="AA89" s="23">
        <f>666.67</f>
        <v>666.67</v>
      </c>
      <c r="AB89" s="23">
        <f t="shared" si="67"/>
        <v>-62.639999999999986</v>
      </c>
      <c r="AC89" s="24">
        <f t="shared" si="68"/>
        <v>0.90604046979765107</v>
      </c>
      <c r="AD89" s="22"/>
      <c r="AE89" s="23">
        <f>666.67</f>
        <v>666.67</v>
      </c>
      <c r="AF89" s="23">
        <f t="shared" si="69"/>
        <v>-666.67</v>
      </c>
      <c r="AG89" s="24">
        <f t="shared" si="70"/>
        <v>0</v>
      </c>
      <c r="AH89" s="23">
        <f>202.45</f>
        <v>202.45</v>
      </c>
      <c r="AI89" s="23">
        <f>666.67</f>
        <v>666.67</v>
      </c>
      <c r="AJ89" s="23">
        <f t="shared" si="71"/>
        <v>-464.21999999999997</v>
      </c>
      <c r="AK89" s="24">
        <f t="shared" si="72"/>
        <v>0.30367348163259184</v>
      </c>
      <c r="AL89" s="22"/>
      <c r="AM89" s="23">
        <f>666.67</f>
        <v>666.67</v>
      </c>
      <c r="AN89" s="23">
        <f t="shared" si="73"/>
        <v>-666.67</v>
      </c>
      <c r="AO89" s="24">
        <f t="shared" si="74"/>
        <v>0</v>
      </c>
      <c r="AP89" s="22"/>
      <c r="AQ89" s="23">
        <f>666.67</f>
        <v>666.67</v>
      </c>
      <c r="AR89" s="23">
        <f t="shared" si="75"/>
        <v>-666.67</v>
      </c>
      <c r="AS89" s="24">
        <f t="shared" si="76"/>
        <v>0</v>
      </c>
      <c r="AT89" s="22"/>
      <c r="AU89" s="23">
        <f>666.63</f>
        <v>666.63</v>
      </c>
      <c r="AV89" s="23">
        <f t="shared" si="77"/>
        <v>-666.63</v>
      </c>
      <c r="AW89" s="24">
        <f t="shared" si="78"/>
        <v>0</v>
      </c>
      <c r="AX89" s="23">
        <f t="shared" si="79"/>
        <v>2230.2799999999997</v>
      </c>
      <c r="AY89" s="23">
        <f t="shared" si="79"/>
        <v>8000</v>
      </c>
      <c r="AZ89" s="23">
        <f t="shared" si="80"/>
        <v>-5769.72</v>
      </c>
      <c r="BA89" s="24">
        <f t="shared" si="81"/>
        <v>0.27878499999999995</v>
      </c>
    </row>
    <row r="90" spans="1:53" x14ac:dyDescent="0.3">
      <c r="A90" s="21" t="s">
        <v>162</v>
      </c>
      <c r="B90" s="22"/>
      <c r="C90" s="23">
        <f>291.67</f>
        <v>291.67</v>
      </c>
      <c r="D90" s="23">
        <f t="shared" si="55"/>
        <v>-291.67</v>
      </c>
      <c r="E90" s="24">
        <f t="shared" si="56"/>
        <v>0</v>
      </c>
      <c r="F90" s="23">
        <f>3280</f>
        <v>3280</v>
      </c>
      <c r="G90" s="23">
        <f>291.67</f>
        <v>291.67</v>
      </c>
      <c r="H90" s="23">
        <f t="shared" si="57"/>
        <v>2988.33</v>
      </c>
      <c r="I90" s="24">
        <f t="shared" si="58"/>
        <v>11.245585764734116</v>
      </c>
      <c r="J90" s="22"/>
      <c r="K90" s="23">
        <f>291.67</f>
        <v>291.67</v>
      </c>
      <c r="L90" s="23">
        <f t="shared" si="59"/>
        <v>-291.67</v>
      </c>
      <c r="M90" s="24">
        <f t="shared" si="60"/>
        <v>0</v>
      </c>
      <c r="N90" s="22"/>
      <c r="O90" s="23">
        <f>291.67</f>
        <v>291.67</v>
      </c>
      <c r="P90" s="23">
        <f t="shared" si="61"/>
        <v>-291.67</v>
      </c>
      <c r="Q90" s="24">
        <f t="shared" si="62"/>
        <v>0</v>
      </c>
      <c r="R90" s="22"/>
      <c r="S90" s="23">
        <f>291.67</f>
        <v>291.67</v>
      </c>
      <c r="T90" s="23">
        <f t="shared" si="63"/>
        <v>-291.67</v>
      </c>
      <c r="U90" s="24">
        <f t="shared" si="64"/>
        <v>0</v>
      </c>
      <c r="V90" s="22"/>
      <c r="W90" s="23">
        <f>291.67</f>
        <v>291.67</v>
      </c>
      <c r="X90" s="23">
        <f t="shared" si="65"/>
        <v>-291.67</v>
      </c>
      <c r="Y90" s="24">
        <f t="shared" si="66"/>
        <v>0</v>
      </c>
      <c r="Z90" s="22"/>
      <c r="AA90" s="23">
        <f>291.67</f>
        <v>291.67</v>
      </c>
      <c r="AB90" s="23">
        <f t="shared" si="67"/>
        <v>-291.67</v>
      </c>
      <c r="AC90" s="24">
        <f t="shared" si="68"/>
        <v>0</v>
      </c>
      <c r="AD90" s="22"/>
      <c r="AE90" s="23">
        <f>291.67</f>
        <v>291.67</v>
      </c>
      <c r="AF90" s="23">
        <f t="shared" si="69"/>
        <v>-291.67</v>
      </c>
      <c r="AG90" s="24">
        <f t="shared" si="70"/>
        <v>0</v>
      </c>
      <c r="AH90" s="22"/>
      <c r="AI90" s="23">
        <f>291.67</f>
        <v>291.67</v>
      </c>
      <c r="AJ90" s="23">
        <f t="shared" si="71"/>
        <v>-291.67</v>
      </c>
      <c r="AK90" s="24">
        <f t="shared" si="72"/>
        <v>0</v>
      </c>
      <c r="AL90" s="22"/>
      <c r="AM90" s="23">
        <f>291.67</f>
        <v>291.67</v>
      </c>
      <c r="AN90" s="23">
        <f t="shared" si="73"/>
        <v>-291.67</v>
      </c>
      <c r="AO90" s="24">
        <f t="shared" si="74"/>
        <v>0</v>
      </c>
      <c r="AP90" s="22"/>
      <c r="AQ90" s="23">
        <f>291.67</f>
        <v>291.67</v>
      </c>
      <c r="AR90" s="23">
        <f t="shared" si="75"/>
        <v>-291.67</v>
      </c>
      <c r="AS90" s="24">
        <f t="shared" si="76"/>
        <v>0</v>
      </c>
      <c r="AT90" s="22"/>
      <c r="AU90" s="23">
        <f>291.63</f>
        <v>291.63</v>
      </c>
      <c r="AV90" s="23">
        <f t="shared" si="77"/>
        <v>-291.63</v>
      </c>
      <c r="AW90" s="24">
        <f t="shared" si="78"/>
        <v>0</v>
      </c>
      <c r="AX90" s="23">
        <f t="shared" si="79"/>
        <v>3280</v>
      </c>
      <c r="AY90" s="23">
        <f t="shared" si="79"/>
        <v>3500.0000000000005</v>
      </c>
      <c r="AZ90" s="23">
        <f t="shared" si="80"/>
        <v>-220.00000000000045</v>
      </c>
      <c r="BA90" s="24">
        <f t="shared" si="81"/>
        <v>0.93714285714285706</v>
      </c>
    </row>
    <row r="91" spans="1:53" x14ac:dyDescent="0.3">
      <c r="A91" s="21" t="s">
        <v>163</v>
      </c>
      <c r="B91" s="22"/>
      <c r="C91" s="23">
        <f>125</f>
        <v>125</v>
      </c>
      <c r="D91" s="23">
        <f t="shared" si="55"/>
        <v>-125</v>
      </c>
      <c r="E91" s="24">
        <f t="shared" si="56"/>
        <v>0</v>
      </c>
      <c r="F91" s="22"/>
      <c r="G91" s="23">
        <f>125</f>
        <v>125</v>
      </c>
      <c r="H91" s="23">
        <f t="shared" si="57"/>
        <v>-125</v>
      </c>
      <c r="I91" s="24">
        <f t="shared" si="58"/>
        <v>0</v>
      </c>
      <c r="J91" s="22"/>
      <c r="K91" s="23">
        <f>125</f>
        <v>125</v>
      </c>
      <c r="L91" s="23">
        <f t="shared" si="59"/>
        <v>-125</v>
      </c>
      <c r="M91" s="24">
        <f t="shared" si="60"/>
        <v>0</v>
      </c>
      <c r="N91" s="22"/>
      <c r="O91" s="23">
        <f>125</f>
        <v>125</v>
      </c>
      <c r="P91" s="23">
        <f t="shared" si="61"/>
        <v>-125</v>
      </c>
      <c r="Q91" s="24">
        <f t="shared" si="62"/>
        <v>0</v>
      </c>
      <c r="R91" s="22"/>
      <c r="S91" s="23">
        <f>125</f>
        <v>125</v>
      </c>
      <c r="T91" s="23">
        <f t="shared" si="63"/>
        <v>-125</v>
      </c>
      <c r="U91" s="24">
        <f t="shared" si="64"/>
        <v>0</v>
      </c>
      <c r="V91" s="23">
        <f>92.78</f>
        <v>92.78</v>
      </c>
      <c r="W91" s="23">
        <f>125</f>
        <v>125</v>
      </c>
      <c r="X91" s="23">
        <f t="shared" si="65"/>
        <v>-32.22</v>
      </c>
      <c r="Y91" s="24">
        <f t="shared" si="66"/>
        <v>0.74224000000000001</v>
      </c>
      <c r="Z91" s="22"/>
      <c r="AA91" s="23">
        <f>125</f>
        <v>125</v>
      </c>
      <c r="AB91" s="23">
        <f t="shared" si="67"/>
        <v>-125</v>
      </c>
      <c r="AC91" s="24">
        <f t="shared" si="68"/>
        <v>0</v>
      </c>
      <c r="AD91" s="22"/>
      <c r="AE91" s="23">
        <f>125</f>
        <v>125</v>
      </c>
      <c r="AF91" s="23">
        <f t="shared" si="69"/>
        <v>-125</v>
      </c>
      <c r="AG91" s="24">
        <f t="shared" si="70"/>
        <v>0</v>
      </c>
      <c r="AH91" s="22"/>
      <c r="AI91" s="23">
        <f>125</f>
        <v>125</v>
      </c>
      <c r="AJ91" s="23">
        <f t="shared" si="71"/>
        <v>-125</v>
      </c>
      <c r="AK91" s="24">
        <f t="shared" si="72"/>
        <v>0</v>
      </c>
      <c r="AL91" s="22"/>
      <c r="AM91" s="23">
        <f>125</f>
        <v>125</v>
      </c>
      <c r="AN91" s="23">
        <f t="shared" si="73"/>
        <v>-125</v>
      </c>
      <c r="AO91" s="24">
        <f t="shared" si="74"/>
        <v>0</v>
      </c>
      <c r="AP91" s="22"/>
      <c r="AQ91" s="23">
        <f>125</f>
        <v>125</v>
      </c>
      <c r="AR91" s="23">
        <f t="shared" si="75"/>
        <v>-125</v>
      </c>
      <c r="AS91" s="24">
        <f t="shared" si="76"/>
        <v>0</v>
      </c>
      <c r="AT91" s="22"/>
      <c r="AU91" s="23">
        <f>125</f>
        <v>125</v>
      </c>
      <c r="AV91" s="23">
        <f t="shared" si="77"/>
        <v>-125</v>
      </c>
      <c r="AW91" s="24">
        <f t="shared" si="78"/>
        <v>0</v>
      </c>
      <c r="AX91" s="23">
        <f t="shared" si="79"/>
        <v>92.78</v>
      </c>
      <c r="AY91" s="23">
        <f t="shared" si="79"/>
        <v>1500</v>
      </c>
      <c r="AZ91" s="23">
        <f t="shared" si="80"/>
        <v>-1407.22</v>
      </c>
      <c r="BA91" s="24">
        <f t="shared" si="81"/>
        <v>6.1853333333333337E-2</v>
      </c>
    </row>
    <row r="92" spans="1:53" x14ac:dyDescent="0.3">
      <c r="A92" s="21" t="s">
        <v>164</v>
      </c>
      <c r="B92" s="23">
        <f>114.99</f>
        <v>114.99</v>
      </c>
      <c r="C92" s="23">
        <f>1250</f>
        <v>1250</v>
      </c>
      <c r="D92" s="23">
        <f t="shared" si="55"/>
        <v>-1135.01</v>
      </c>
      <c r="E92" s="24">
        <f t="shared" si="56"/>
        <v>9.199199999999999E-2</v>
      </c>
      <c r="F92" s="23">
        <f>2005.59</f>
        <v>2005.59</v>
      </c>
      <c r="G92" s="23">
        <f>1250</f>
        <v>1250</v>
      </c>
      <c r="H92" s="23">
        <f t="shared" si="57"/>
        <v>755.58999999999992</v>
      </c>
      <c r="I92" s="24">
        <f t="shared" si="58"/>
        <v>1.6044719999999999</v>
      </c>
      <c r="J92" s="23">
        <f>287.81</f>
        <v>287.81</v>
      </c>
      <c r="K92" s="23">
        <f>1250</f>
        <v>1250</v>
      </c>
      <c r="L92" s="23">
        <f t="shared" si="59"/>
        <v>-962.19</v>
      </c>
      <c r="M92" s="24">
        <f t="shared" si="60"/>
        <v>0.23024800000000001</v>
      </c>
      <c r="N92" s="23">
        <f>158</f>
        <v>158</v>
      </c>
      <c r="O92" s="23">
        <f>1250</f>
        <v>1250</v>
      </c>
      <c r="P92" s="23">
        <f t="shared" si="61"/>
        <v>-1092</v>
      </c>
      <c r="Q92" s="24">
        <f t="shared" si="62"/>
        <v>0.12640000000000001</v>
      </c>
      <c r="R92" s="23">
        <f>199.18</f>
        <v>199.18</v>
      </c>
      <c r="S92" s="23">
        <f>1250</f>
        <v>1250</v>
      </c>
      <c r="T92" s="23">
        <f t="shared" si="63"/>
        <v>-1050.82</v>
      </c>
      <c r="U92" s="24">
        <f t="shared" si="64"/>
        <v>0.15934400000000001</v>
      </c>
      <c r="V92" s="23">
        <f>1522</f>
        <v>1522</v>
      </c>
      <c r="W92" s="23">
        <f>1250</f>
        <v>1250</v>
      </c>
      <c r="X92" s="23">
        <f t="shared" si="65"/>
        <v>272</v>
      </c>
      <c r="Y92" s="24">
        <f t="shared" si="66"/>
        <v>1.2176</v>
      </c>
      <c r="Z92" s="23">
        <f>199.18</f>
        <v>199.18</v>
      </c>
      <c r="AA92" s="23">
        <f>1250</f>
        <v>1250</v>
      </c>
      <c r="AB92" s="23">
        <f t="shared" si="67"/>
        <v>-1050.82</v>
      </c>
      <c r="AC92" s="24">
        <f t="shared" si="68"/>
        <v>0.15934400000000001</v>
      </c>
      <c r="AD92" s="23">
        <f>143.64</f>
        <v>143.63999999999999</v>
      </c>
      <c r="AE92" s="23">
        <f>1250</f>
        <v>1250</v>
      </c>
      <c r="AF92" s="23">
        <f t="shared" si="69"/>
        <v>-1106.3600000000001</v>
      </c>
      <c r="AG92" s="24">
        <f t="shared" si="70"/>
        <v>0.11491199999999999</v>
      </c>
      <c r="AH92" s="23">
        <f>2045.1</f>
        <v>2045.1</v>
      </c>
      <c r="AI92" s="23">
        <f>1250</f>
        <v>1250</v>
      </c>
      <c r="AJ92" s="23">
        <f t="shared" si="71"/>
        <v>795.09999999999991</v>
      </c>
      <c r="AK92" s="24">
        <f t="shared" si="72"/>
        <v>1.63608</v>
      </c>
      <c r="AL92" s="23">
        <f>194.59</f>
        <v>194.59</v>
      </c>
      <c r="AM92" s="23">
        <f>1250</f>
        <v>1250</v>
      </c>
      <c r="AN92" s="23">
        <f t="shared" si="73"/>
        <v>-1055.4100000000001</v>
      </c>
      <c r="AO92" s="24">
        <f t="shared" si="74"/>
        <v>0.155672</v>
      </c>
      <c r="AP92" s="22"/>
      <c r="AQ92" s="23">
        <f>1250</f>
        <v>1250</v>
      </c>
      <c r="AR92" s="23">
        <f t="shared" si="75"/>
        <v>-1250</v>
      </c>
      <c r="AS92" s="24">
        <f t="shared" si="76"/>
        <v>0</v>
      </c>
      <c r="AT92" s="22"/>
      <c r="AU92" s="23">
        <f>1250</f>
        <v>1250</v>
      </c>
      <c r="AV92" s="23">
        <f t="shared" si="77"/>
        <v>-1250</v>
      </c>
      <c r="AW92" s="24">
        <f t="shared" si="78"/>
        <v>0</v>
      </c>
      <c r="AX92" s="23">
        <f t="shared" si="79"/>
        <v>6870.08</v>
      </c>
      <c r="AY92" s="23">
        <f t="shared" si="79"/>
        <v>15000</v>
      </c>
      <c r="AZ92" s="23">
        <f t="shared" si="80"/>
        <v>-8129.92</v>
      </c>
      <c r="BA92" s="24">
        <f t="shared" si="81"/>
        <v>0.45800533333333332</v>
      </c>
    </row>
    <row r="93" spans="1:53" x14ac:dyDescent="0.3">
      <c r="A93" s="21" t="s">
        <v>165</v>
      </c>
      <c r="B93" s="25">
        <f>(((((B87)+(B88))+(B89))+(B90))+(B91))+(B92)</f>
        <v>2509.9899999999998</v>
      </c>
      <c r="C93" s="25">
        <f>(((((C87)+(C88))+(C89))+(C90))+(C91))+(C92)</f>
        <v>4728.34</v>
      </c>
      <c r="D93" s="25">
        <f t="shared" si="55"/>
        <v>-2218.3500000000004</v>
      </c>
      <c r="E93" s="26">
        <f t="shared" si="56"/>
        <v>0.53083957583422503</v>
      </c>
      <c r="F93" s="25">
        <f>(((((F87)+(F88))+(F89))+(F90))+(F91))+(F92)</f>
        <v>7680.59</v>
      </c>
      <c r="G93" s="25">
        <f>(((((G87)+(G88))+(G89))+(G90))+(G91))+(G92)</f>
        <v>4728.34</v>
      </c>
      <c r="H93" s="25">
        <f t="shared" si="57"/>
        <v>2952.25</v>
      </c>
      <c r="I93" s="26">
        <f t="shared" si="58"/>
        <v>1.6243734587614258</v>
      </c>
      <c r="J93" s="25">
        <f>(((((J87)+(J88))+(J89))+(J90))+(J91))+(J92)</f>
        <v>2852.61</v>
      </c>
      <c r="K93" s="25">
        <f>(((((K87)+(K88))+(K89))+(K90))+(K91))+(K92)</f>
        <v>4728.34</v>
      </c>
      <c r="L93" s="25">
        <f t="shared" si="59"/>
        <v>-1875.73</v>
      </c>
      <c r="M93" s="26">
        <f t="shared" si="60"/>
        <v>0.60330052407398793</v>
      </c>
      <c r="N93" s="25">
        <f>(((((N87)+(N88))+(N89))+(N90))+(N91))+(N92)</f>
        <v>3448</v>
      </c>
      <c r="O93" s="25">
        <f>(((((O87)+(O88))+(O89))+(O90))+(O91))+(O92)</f>
        <v>4728.34</v>
      </c>
      <c r="P93" s="25">
        <f t="shared" si="61"/>
        <v>-1280.3400000000001</v>
      </c>
      <c r="Q93" s="26">
        <f t="shared" si="62"/>
        <v>0.72921997995068033</v>
      </c>
      <c r="R93" s="25">
        <f>(((((R87)+(R88))+(R89))+(R90))+(R91))+(R92)</f>
        <v>2594.1799999999998</v>
      </c>
      <c r="S93" s="25">
        <f>(((((S87)+(S88))+(S89))+(S90))+(S91))+(S92)</f>
        <v>4728.34</v>
      </c>
      <c r="T93" s="25">
        <f t="shared" si="63"/>
        <v>-2134.1600000000003</v>
      </c>
      <c r="U93" s="26">
        <f t="shared" si="64"/>
        <v>0.54864497899897213</v>
      </c>
      <c r="V93" s="25">
        <f>(((((V87)+(V88))+(V89))+(V90))+(V91))+(V92)</f>
        <v>4368.7800000000007</v>
      </c>
      <c r="W93" s="25">
        <f>(((((W87)+(W88))+(W89))+(W90))+(W91))+(W92)</f>
        <v>4728.34</v>
      </c>
      <c r="X93" s="25">
        <f t="shared" si="65"/>
        <v>-359.55999999999949</v>
      </c>
      <c r="Y93" s="26">
        <f t="shared" si="66"/>
        <v>0.92395639907451677</v>
      </c>
      <c r="Z93" s="25">
        <f>(((((Z87)+(Z88))+(Z89))+(Z90))+(Z91))+(Z92)</f>
        <v>3198.2099999999996</v>
      </c>
      <c r="AA93" s="25">
        <f>(((((AA87)+(AA88))+(AA89))+(AA90))+(AA91))+(AA92)</f>
        <v>4728.34</v>
      </c>
      <c r="AB93" s="25">
        <f t="shared" si="67"/>
        <v>-1530.1300000000006</v>
      </c>
      <c r="AC93" s="26">
        <f t="shared" si="68"/>
        <v>0.67639171463981007</v>
      </c>
      <c r="AD93" s="25">
        <f>(((((AD87)+(AD88))+(AD89))+(AD90))+(AD91))+(AD92)</f>
        <v>2538.64</v>
      </c>
      <c r="AE93" s="25">
        <f>(((((AE87)+(AE88))+(AE89))+(AE90))+(AE91))+(AE92)</f>
        <v>4728.34</v>
      </c>
      <c r="AF93" s="25">
        <f t="shared" si="69"/>
        <v>-2189.7000000000003</v>
      </c>
      <c r="AG93" s="26">
        <f t="shared" si="70"/>
        <v>0.53689878477436048</v>
      </c>
      <c r="AH93" s="25">
        <f>(((((AH87)+(AH88))+(AH89))+(AH90))+(AH91))+(AH92)</f>
        <v>4642.5499999999993</v>
      </c>
      <c r="AI93" s="25">
        <f>(((((AI87)+(AI88))+(AI89))+(AI90))+(AI91))+(AI92)</f>
        <v>4728.34</v>
      </c>
      <c r="AJ93" s="25">
        <f t="shared" si="71"/>
        <v>-85.790000000000873</v>
      </c>
      <c r="AK93" s="26">
        <f t="shared" si="72"/>
        <v>0.98185621169374437</v>
      </c>
      <c r="AL93" s="25">
        <f>(((((AL87)+(AL88))+(AL89))+(AL90))+(AL91))+(AL92)</f>
        <v>2589.59</v>
      </c>
      <c r="AM93" s="25">
        <f>(((((AM87)+(AM88))+(AM89))+(AM90))+(AM91))+(AM92)</f>
        <v>4728.34</v>
      </c>
      <c r="AN93" s="25">
        <f t="shared" si="73"/>
        <v>-2138.75</v>
      </c>
      <c r="AO93" s="26">
        <f t="shared" si="74"/>
        <v>0.54767423662426984</v>
      </c>
      <c r="AP93" s="25">
        <f>(((((AP87)+(AP88))+(AP89))+(AP90))+(AP91))+(AP92)</f>
        <v>0</v>
      </c>
      <c r="AQ93" s="25">
        <f>(((((AQ87)+(AQ88))+(AQ89))+(AQ90))+(AQ91))+(AQ92)</f>
        <v>4728.34</v>
      </c>
      <c r="AR93" s="25">
        <f t="shared" si="75"/>
        <v>-4728.34</v>
      </c>
      <c r="AS93" s="26">
        <f t="shared" si="76"/>
        <v>0</v>
      </c>
      <c r="AT93" s="25">
        <f>(((((AT87)+(AT88))+(AT89))+(AT90))+(AT91))+(AT92)</f>
        <v>0</v>
      </c>
      <c r="AU93" s="25">
        <f>(((((AU87)+(AU88))+(AU89))+(AU90))+(AU91))+(AU92)</f>
        <v>4728.26</v>
      </c>
      <c r="AV93" s="25">
        <f t="shared" si="77"/>
        <v>-4728.26</v>
      </c>
      <c r="AW93" s="26">
        <f t="shared" si="78"/>
        <v>0</v>
      </c>
      <c r="AX93" s="25">
        <f t="shared" si="79"/>
        <v>36423.14</v>
      </c>
      <c r="AY93" s="25">
        <f t="shared" si="79"/>
        <v>56739.999999999993</v>
      </c>
      <c r="AZ93" s="25">
        <f t="shared" si="80"/>
        <v>-20316.859999999993</v>
      </c>
      <c r="BA93" s="26">
        <f t="shared" si="81"/>
        <v>0.64193056045118091</v>
      </c>
    </row>
    <row r="94" spans="1:53" x14ac:dyDescent="0.3">
      <c r="A94" s="21" t="s">
        <v>166</v>
      </c>
      <c r="B94" s="22"/>
      <c r="C94" s="22"/>
      <c r="D94" s="23">
        <f t="shared" si="55"/>
        <v>0</v>
      </c>
      <c r="E94" s="24" t="str">
        <f t="shared" si="56"/>
        <v/>
      </c>
      <c r="F94" s="22"/>
      <c r="G94" s="22"/>
      <c r="H94" s="23">
        <f t="shared" si="57"/>
        <v>0</v>
      </c>
      <c r="I94" s="24" t="str">
        <f t="shared" si="58"/>
        <v/>
      </c>
      <c r="J94" s="22"/>
      <c r="K94" s="22"/>
      <c r="L94" s="23">
        <f t="shared" si="59"/>
        <v>0</v>
      </c>
      <c r="M94" s="24" t="str">
        <f t="shared" si="60"/>
        <v/>
      </c>
      <c r="N94" s="22"/>
      <c r="O94" s="22"/>
      <c r="P94" s="23">
        <f t="shared" si="61"/>
        <v>0</v>
      </c>
      <c r="Q94" s="24" t="str">
        <f t="shared" si="62"/>
        <v/>
      </c>
      <c r="R94" s="22"/>
      <c r="S94" s="22"/>
      <c r="T94" s="23">
        <f t="shared" si="63"/>
        <v>0</v>
      </c>
      <c r="U94" s="24" t="str">
        <f t="shared" si="64"/>
        <v/>
      </c>
      <c r="V94" s="22"/>
      <c r="W94" s="22"/>
      <c r="X94" s="23">
        <f t="shared" si="65"/>
        <v>0</v>
      </c>
      <c r="Y94" s="24" t="str">
        <f t="shared" si="66"/>
        <v/>
      </c>
      <c r="Z94" s="22"/>
      <c r="AA94" s="22"/>
      <c r="AB94" s="23">
        <f t="shared" si="67"/>
        <v>0</v>
      </c>
      <c r="AC94" s="24" t="str">
        <f t="shared" si="68"/>
        <v/>
      </c>
      <c r="AD94" s="22"/>
      <c r="AE94" s="22"/>
      <c r="AF94" s="23">
        <f t="shared" si="69"/>
        <v>0</v>
      </c>
      <c r="AG94" s="24" t="str">
        <f t="shared" si="70"/>
        <v/>
      </c>
      <c r="AH94" s="22"/>
      <c r="AI94" s="22"/>
      <c r="AJ94" s="23">
        <f t="shared" si="71"/>
        <v>0</v>
      </c>
      <c r="AK94" s="24" t="str">
        <f t="shared" si="72"/>
        <v/>
      </c>
      <c r="AL94" s="22"/>
      <c r="AM94" s="22"/>
      <c r="AN94" s="23">
        <f t="shared" si="73"/>
        <v>0</v>
      </c>
      <c r="AO94" s="24" t="str">
        <f t="shared" si="74"/>
        <v/>
      </c>
      <c r="AP94" s="22"/>
      <c r="AQ94" s="22"/>
      <c r="AR94" s="23">
        <f t="shared" si="75"/>
        <v>0</v>
      </c>
      <c r="AS94" s="24" t="str">
        <f t="shared" si="76"/>
        <v/>
      </c>
      <c r="AT94" s="22"/>
      <c r="AU94" s="22"/>
      <c r="AV94" s="23">
        <f t="shared" si="77"/>
        <v>0</v>
      </c>
      <c r="AW94" s="24" t="str">
        <f t="shared" si="78"/>
        <v/>
      </c>
      <c r="AX94" s="23">
        <f t="shared" si="79"/>
        <v>0</v>
      </c>
      <c r="AY94" s="23">
        <f t="shared" si="79"/>
        <v>0</v>
      </c>
      <c r="AZ94" s="23">
        <f t="shared" si="80"/>
        <v>0</v>
      </c>
      <c r="BA94" s="24" t="str">
        <f t="shared" si="81"/>
        <v/>
      </c>
    </row>
    <row r="95" spans="1:53" x14ac:dyDescent="0.3">
      <c r="A95" s="21" t="s">
        <v>167</v>
      </c>
      <c r="B95" s="23">
        <f>465.57</f>
        <v>465.57</v>
      </c>
      <c r="C95" s="23">
        <f>583.33</f>
        <v>583.33000000000004</v>
      </c>
      <c r="D95" s="23">
        <f t="shared" si="55"/>
        <v>-117.76000000000005</v>
      </c>
      <c r="E95" s="24">
        <f t="shared" si="56"/>
        <v>0.7981245607117754</v>
      </c>
      <c r="F95" s="23">
        <f>937.26</f>
        <v>937.26</v>
      </c>
      <c r="G95" s="23">
        <f>583.33</f>
        <v>583.33000000000004</v>
      </c>
      <c r="H95" s="23">
        <f t="shared" si="57"/>
        <v>353.92999999999995</v>
      </c>
      <c r="I95" s="24">
        <f t="shared" si="58"/>
        <v>1.6067406099463424</v>
      </c>
      <c r="J95" s="23">
        <f>468.24</f>
        <v>468.24</v>
      </c>
      <c r="K95" s="23">
        <f>583.33</f>
        <v>583.33000000000004</v>
      </c>
      <c r="L95" s="23">
        <f t="shared" si="59"/>
        <v>-115.09000000000003</v>
      </c>
      <c r="M95" s="24">
        <f t="shared" si="60"/>
        <v>0.80270172972416987</v>
      </c>
      <c r="N95" s="22"/>
      <c r="O95" s="23">
        <f>583.33</f>
        <v>583.33000000000004</v>
      </c>
      <c r="P95" s="23">
        <f t="shared" si="61"/>
        <v>-583.33000000000004</v>
      </c>
      <c r="Q95" s="24">
        <f t="shared" si="62"/>
        <v>0</v>
      </c>
      <c r="R95" s="23">
        <f>468.24</f>
        <v>468.24</v>
      </c>
      <c r="S95" s="23">
        <f>583.33</f>
        <v>583.33000000000004</v>
      </c>
      <c r="T95" s="23">
        <f t="shared" si="63"/>
        <v>-115.09000000000003</v>
      </c>
      <c r="U95" s="24">
        <f t="shared" si="64"/>
        <v>0.80270172972416987</v>
      </c>
      <c r="V95" s="23">
        <f>468.33</f>
        <v>468.33</v>
      </c>
      <c r="W95" s="23">
        <f>583.33</f>
        <v>583.33000000000004</v>
      </c>
      <c r="X95" s="23">
        <f t="shared" si="65"/>
        <v>-115.00000000000006</v>
      </c>
      <c r="Y95" s="24">
        <f t="shared" si="66"/>
        <v>0.80285601632009318</v>
      </c>
      <c r="Z95" s="22"/>
      <c r="AA95" s="23">
        <f>583.33</f>
        <v>583.33000000000004</v>
      </c>
      <c r="AB95" s="23">
        <f t="shared" si="67"/>
        <v>-583.33000000000004</v>
      </c>
      <c r="AC95" s="24">
        <f t="shared" si="68"/>
        <v>0</v>
      </c>
      <c r="AD95" s="23">
        <f>942.21</f>
        <v>942.21</v>
      </c>
      <c r="AE95" s="23">
        <f>583.33</f>
        <v>583.33000000000004</v>
      </c>
      <c r="AF95" s="23">
        <f t="shared" si="69"/>
        <v>358.88</v>
      </c>
      <c r="AG95" s="24">
        <f t="shared" si="70"/>
        <v>1.6152263727221299</v>
      </c>
      <c r="AH95" s="23">
        <f>1420.54</f>
        <v>1420.54</v>
      </c>
      <c r="AI95" s="23">
        <f>583.33</f>
        <v>583.33000000000004</v>
      </c>
      <c r="AJ95" s="23">
        <f t="shared" si="71"/>
        <v>837.20999999999992</v>
      </c>
      <c r="AK95" s="24">
        <f t="shared" si="72"/>
        <v>2.4352253441448233</v>
      </c>
      <c r="AL95" s="22"/>
      <c r="AM95" s="23">
        <f>583.33</f>
        <v>583.33000000000004</v>
      </c>
      <c r="AN95" s="23">
        <f t="shared" si="73"/>
        <v>-583.33000000000004</v>
      </c>
      <c r="AO95" s="24">
        <f t="shared" si="74"/>
        <v>0</v>
      </c>
      <c r="AP95" s="22"/>
      <c r="AQ95" s="23">
        <f>583.33</f>
        <v>583.33000000000004</v>
      </c>
      <c r="AR95" s="23">
        <f t="shared" si="75"/>
        <v>-583.33000000000004</v>
      </c>
      <c r="AS95" s="24">
        <f t="shared" si="76"/>
        <v>0</v>
      </c>
      <c r="AT95" s="22"/>
      <c r="AU95" s="23">
        <f>583.37</f>
        <v>583.37</v>
      </c>
      <c r="AV95" s="23">
        <f t="shared" si="77"/>
        <v>-583.37</v>
      </c>
      <c r="AW95" s="24">
        <f t="shared" si="78"/>
        <v>0</v>
      </c>
      <c r="AX95" s="23">
        <f t="shared" si="79"/>
        <v>5170.3899999999994</v>
      </c>
      <c r="AY95" s="23">
        <f t="shared" si="79"/>
        <v>7000</v>
      </c>
      <c r="AZ95" s="23">
        <f t="shared" si="80"/>
        <v>-1829.6100000000006</v>
      </c>
      <c r="BA95" s="24">
        <f t="shared" si="81"/>
        <v>0.73862714285714282</v>
      </c>
    </row>
    <row r="96" spans="1:53" x14ac:dyDescent="0.3">
      <c r="A96" s="21" t="s">
        <v>168</v>
      </c>
      <c r="B96" s="23">
        <f>1161.07</f>
        <v>1161.07</v>
      </c>
      <c r="C96" s="23">
        <f>1000</f>
        <v>1000</v>
      </c>
      <c r="D96" s="23">
        <f t="shared" si="55"/>
        <v>161.06999999999994</v>
      </c>
      <c r="E96" s="24">
        <f t="shared" si="56"/>
        <v>1.16107</v>
      </c>
      <c r="F96" s="23">
        <f>1118.11</f>
        <v>1118.1099999999999</v>
      </c>
      <c r="G96" s="23">
        <f>1000</f>
        <v>1000</v>
      </c>
      <c r="H96" s="23">
        <f t="shared" si="57"/>
        <v>118.1099999999999</v>
      </c>
      <c r="I96" s="24">
        <f t="shared" si="58"/>
        <v>1.1181099999999999</v>
      </c>
      <c r="J96" s="23">
        <f>673.64</f>
        <v>673.64</v>
      </c>
      <c r="K96" s="23">
        <f>1000</f>
        <v>1000</v>
      </c>
      <c r="L96" s="23">
        <f t="shared" si="59"/>
        <v>-326.36</v>
      </c>
      <c r="M96" s="24">
        <f t="shared" si="60"/>
        <v>0.67364000000000002</v>
      </c>
      <c r="N96" s="23">
        <f>608.09</f>
        <v>608.09</v>
      </c>
      <c r="O96" s="23">
        <f>1000</f>
        <v>1000</v>
      </c>
      <c r="P96" s="23">
        <f t="shared" si="61"/>
        <v>-391.90999999999997</v>
      </c>
      <c r="Q96" s="24">
        <f t="shared" si="62"/>
        <v>0.60809000000000002</v>
      </c>
      <c r="R96" s="23">
        <f>664.54</f>
        <v>664.54</v>
      </c>
      <c r="S96" s="23">
        <f>1000</f>
        <v>1000</v>
      </c>
      <c r="T96" s="23">
        <f t="shared" si="63"/>
        <v>-335.46000000000004</v>
      </c>
      <c r="U96" s="24">
        <f t="shared" si="64"/>
        <v>0.66453999999999991</v>
      </c>
      <c r="V96" s="23">
        <f>911.76</f>
        <v>911.76</v>
      </c>
      <c r="W96" s="23">
        <f>1000</f>
        <v>1000</v>
      </c>
      <c r="X96" s="23">
        <f t="shared" si="65"/>
        <v>-88.240000000000009</v>
      </c>
      <c r="Y96" s="24">
        <f t="shared" si="66"/>
        <v>0.91176000000000001</v>
      </c>
      <c r="Z96" s="22"/>
      <c r="AA96" s="23">
        <f>1000</f>
        <v>1000</v>
      </c>
      <c r="AB96" s="23">
        <f t="shared" si="67"/>
        <v>-1000</v>
      </c>
      <c r="AC96" s="24">
        <f t="shared" si="68"/>
        <v>0</v>
      </c>
      <c r="AD96" s="23">
        <f>1965.9</f>
        <v>1965.9</v>
      </c>
      <c r="AE96" s="23">
        <f>1000</f>
        <v>1000</v>
      </c>
      <c r="AF96" s="23">
        <f t="shared" si="69"/>
        <v>965.90000000000009</v>
      </c>
      <c r="AG96" s="24">
        <f t="shared" si="70"/>
        <v>1.9659</v>
      </c>
      <c r="AH96" s="23">
        <f>909.5</f>
        <v>909.5</v>
      </c>
      <c r="AI96" s="23">
        <f>1000</f>
        <v>1000</v>
      </c>
      <c r="AJ96" s="23">
        <f t="shared" si="71"/>
        <v>-90.5</v>
      </c>
      <c r="AK96" s="24">
        <f t="shared" si="72"/>
        <v>0.90949999999999998</v>
      </c>
      <c r="AL96" s="23">
        <f>620.55</f>
        <v>620.54999999999995</v>
      </c>
      <c r="AM96" s="23">
        <f>1000</f>
        <v>1000</v>
      </c>
      <c r="AN96" s="23">
        <f t="shared" si="73"/>
        <v>-379.45000000000005</v>
      </c>
      <c r="AO96" s="24">
        <f t="shared" si="74"/>
        <v>0.62054999999999993</v>
      </c>
      <c r="AP96" s="22"/>
      <c r="AQ96" s="23">
        <f>1000</f>
        <v>1000</v>
      </c>
      <c r="AR96" s="23">
        <f t="shared" si="75"/>
        <v>-1000</v>
      </c>
      <c r="AS96" s="24">
        <f t="shared" si="76"/>
        <v>0</v>
      </c>
      <c r="AT96" s="22"/>
      <c r="AU96" s="23">
        <f>1000</f>
        <v>1000</v>
      </c>
      <c r="AV96" s="23">
        <f t="shared" si="77"/>
        <v>-1000</v>
      </c>
      <c r="AW96" s="24">
        <f t="shared" si="78"/>
        <v>0</v>
      </c>
      <c r="AX96" s="23">
        <f t="shared" si="79"/>
        <v>8633.16</v>
      </c>
      <c r="AY96" s="23">
        <f t="shared" si="79"/>
        <v>12000</v>
      </c>
      <c r="AZ96" s="23">
        <f t="shared" si="80"/>
        <v>-3366.84</v>
      </c>
      <c r="BA96" s="24">
        <f t="shared" si="81"/>
        <v>0.71943000000000001</v>
      </c>
    </row>
    <row r="97" spans="1:53" x14ac:dyDescent="0.3">
      <c r="A97" s="21" t="s">
        <v>169</v>
      </c>
      <c r="B97" s="23">
        <f>40</f>
        <v>40</v>
      </c>
      <c r="C97" s="23">
        <f>41.67</f>
        <v>41.67</v>
      </c>
      <c r="D97" s="23">
        <f t="shared" si="55"/>
        <v>-1.6700000000000017</v>
      </c>
      <c r="E97" s="24">
        <f t="shared" si="56"/>
        <v>0.95992320614350846</v>
      </c>
      <c r="F97" s="23">
        <f>80</f>
        <v>80</v>
      </c>
      <c r="G97" s="23">
        <f>41.67</f>
        <v>41.67</v>
      </c>
      <c r="H97" s="23">
        <f t="shared" si="57"/>
        <v>38.33</v>
      </c>
      <c r="I97" s="24">
        <f t="shared" si="58"/>
        <v>1.9198464122870169</v>
      </c>
      <c r="J97" s="22"/>
      <c r="K97" s="23">
        <f>41.67</f>
        <v>41.67</v>
      </c>
      <c r="L97" s="23">
        <f t="shared" si="59"/>
        <v>-41.67</v>
      </c>
      <c r="M97" s="24">
        <f t="shared" si="60"/>
        <v>0</v>
      </c>
      <c r="N97" s="23">
        <f>40</f>
        <v>40</v>
      </c>
      <c r="O97" s="23">
        <f>41.67</f>
        <v>41.67</v>
      </c>
      <c r="P97" s="23">
        <f t="shared" si="61"/>
        <v>-1.6700000000000017</v>
      </c>
      <c r="Q97" s="24">
        <f t="shared" si="62"/>
        <v>0.95992320614350846</v>
      </c>
      <c r="R97" s="23">
        <f>40</f>
        <v>40</v>
      </c>
      <c r="S97" s="23">
        <f>41.67</f>
        <v>41.67</v>
      </c>
      <c r="T97" s="23">
        <f t="shared" si="63"/>
        <v>-1.6700000000000017</v>
      </c>
      <c r="U97" s="24">
        <f t="shared" si="64"/>
        <v>0.95992320614350846</v>
      </c>
      <c r="V97" s="23">
        <f>40</f>
        <v>40</v>
      </c>
      <c r="W97" s="23">
        <f>41.67</f>
        <v>41.67</v>
      </c>
      <c r="X97" s="23">
        <f t="shared" si="65"/>
        <v>-1.6700000000000017</v>
      </c>
      <c r="Y97" s="24">
        <f t="shared" si="66"/>
        <v>0.95992320614350846</v>
      </c>
      <c r="Z97" s="23">
        <f>40</f>
        <v>40</v>
      </c>
      <c r="AA97" s="23">
        <f>41.67</f>
        <v>41.67</v>
      </c>
      <c r="AB97" s="23">
        <f t="shared" si="67"/>
        <v>-1.6700000000000017</v>
      </c>
      <c r="AC97" s="24">
        <f t="shared" si="68"/>
        <v>0.95992320614350846</v>
      </c>
      <c r="AD97" s="23">
        <f>40</f>
        <v>40</v>
      </c>
      <c r="AE97" s="23">
        <f>41.67</f>
        <v>41.67</v>
      </c>
      <c r="AF97" s="23">
        <f t="shared" si="69"/>
        <v>-1.6700000000000017</v>
      </c>
      <c r="AG97" s="24">
        <f t="shared" si="70"/>
        <v>0.95992320614350846</v>
      </c>
      <c r="AH97" s="23">
        <f>40</f>
        <v>40</v>
      </c>
      <c r="AI97" s="23">
        <f>41.67</f>
        <v>41.67</v>
      </c>
      <c r="AJ97" s="23">
        <f t="shared" si="71"/>
        <v>-1.6700000000000017</v>
      </c>
      <c r="AK97" s="24">
        <f t="shared" si="72"/>
        <v>0.95992320614350846</v>
      </c>
      <c r="AL97" s="23">
        <f>40</f>
        <v>40</v>
      </c>
      <c r="AM97" s="23">
        <f>41.67</f>
        <v>41.67</v>
      </c>
      <c r="AN97" s="23">
        <f t="shared" si="73"/>
        <v>-1.6700000000000017</v>
      </c>
      <c r="AO97" s="24">
        <f t="shared" si="74"/>
        <v>0.95992320614350846</v>
      </c>
      <c r="AP97" s="23">
        <f>40</f>
        <v>40</v>
      </c>
      <c r="AQ97" s="23">
        <f>41.67</f>
        <v>41.67</v>
      </c>
      <c r="AR97" s="23">
        <f t="shared" si="75"/>
        <v>-1.6700000000000017</v>
      </c>
      <c r="AS97" s="24">
        <f t="shared" si="76"/>
        <v>0.95992320614350846</v>
      </c>
      <c r="AT97" s="22"/>
      <c r="AU97" s="23">
        <f>41.63</f>
        <v>41.63</v>
      </c>
      <c r="AV97" s="23">
        <f t="shared" si="77"/>
        <v>-41.63</v>
      </c>
      <c r="AW97" s="24">
        <f t="shared" si="78"/>
        <v>0</v>
      </c>
      <c r="AX97" s="23">
        <f t="shared" si="79"/>
        <v>440</v>
      </c>
      <c r="AY97" s="23">
        <f t="shared" si="79"/>
        <v>500.00000000000011</v>
      </c>
      <c r="AZ97" s="23">
        <f t="shared" si="80"/>
        <v>-60.000000000000114</v>
      </c>
      <c r="BA97" s="24">
        <f t="shared" si="81"/>
        <v>0.87999999999999978</v>
      </c>
    </row>
    <row r="98" spans="1:53" x14ac:dyDescent="0.3">
      <c r="A98" s="21" t="s">
        <v>170</v>
      </c>
      <c r="B98" s="23">
        <f>116.62</f>
        <v>116.62</v>
      </c>
      <c r="C98" s="23">
        <f>166.67</f>
        <v>166.67</v>
      </c>
      <c r="D98" s="23">
        <f t="shared" si="55"/>
        <v>-50.049999999999983</v>
      </c>
      <c r="E98" s="24">
        <f t="shared" si="56"/>
        <v>0.69970600587988252</v>
      </c>
      <c r="F98" s="23">
        <f>122.13</f>
        <v>122.13</v>
      </c>
      <c r="G98" s="23">
        <f>166.67</f>
        <v>166.67</v>
      </c>
      <c r="H98" s="23">
        <f t="shared" si="57"/>
        <v>-44.539999999999992</v>
      </c>
      <c r="I98" s="24">
        <f t="shared" si="58"/>
        <v>0.73276534469310617</v>
      </c>
      <c r="J98" s="23">
        <f>118.53</f>
        <v>118.53</v>
      </c>
      <c r="K98" s="23">
        <f>166.67</f>
        <v>166.67</v>
      </c>
      <c r="L98" s="23">
        <f t="shared" si="59"/>
        <v>-48.139999999999986</v>
      </c>
      <c r="M98" s="24">
        <f t="shared" si="60"/>
        <v>0.71116577668446634</v>
      </c>
      <c r="N98" s="23">
        <f>105.01</f>
        <v>105.01</v>
      </c>
      <c r="O98" s="23">
        <f>166.67</f>
        <v>166.67</v>
      </c>
      <c r="P98" s="23">
        <f t="shared" si="61"/>
        <v>-61.659999999999982</v>
      </c>
      <c r="Q98" s="24">
        <f t="shared" si="62"/>
        <v>0.63004739905201901</v>
      </c>
      <c r="R98" s="23">
        <f>155.41</f>
        <v>155.41</v>
      </c>
      <c r="S98" s="23">
        <f>166.67</f>
        <v>166.67</v>
      </c>
      <c r="T98" s="23">
        <f t="shared" si="63"/>
        <v>-11.259999999999991</v>
      </c>
      <c r="U98" s="24">
        <f t="shared" si="64"/>
        <v>0.93244135117297655</v>
      </c>
      <c r="V98" s="23">
        <f>177.01</f>
        <v>177.01</v>
      </c>
      <c r="W98" s="23">
        <f>166.67</f>
        <v>166.67</v>
      </c>
      <c r="X98" s="23">
        <f t="shared" si="65"/>
        <v>10.340000000000003</v>
      </c>
      <c r="Y98" s="24">
        <f t="shared" si="66"/>
        <v>1.0620387592248155</v>
      </c>
      <c r="Z98" s="23">
        <f>169.81</f>
        <v>169.81</v>
      </c>
      <c r="AA98" s="23">
        <f>166.67</f>
        <v>166.67</v>
      </c>
      <c r="AB98" s="23">
        <f t="shared" si="67"/>
        <v>3.1400000000000148</v>
      </c>
      <c r="AC98" s="24">
        <f t="shared" si="68"/>
        <v>1.0188396232075358</v>
      </c>
      <c r="AD98" s="23">
        <f>173.41</f>
        <v>173.41</v>
      </c>
      <c r="AE98" s="23">
        <f>166.67</f>
        <v>166.67</v>
      </c>
      <c r="AF98" s="23">
        <f t="shared" si="69"/>
        <v>6.7400000000000091</v>
      </c>
      <c r="AG98" s="24">
        <f t="shared" si="70"/>
        <v>1.0404391912161757</v>
      </c>
      <c r="AH98" s="23">
        <f>162.61</f>
        <v>162.61000000000001</v>
      </c>
      <c r="AI98" s="23">
        <f>166.67</f>
        <v>166.67</v>
      </c>
      <c r="AJ98" s="23">
        <f t="shared" si="71"/>
        <v>-4.0599999999999739</v>
      </c>
      <c r="AK98" s="24">
        <f t="shared" si="72"/>
        <v>0.97564048719025631</v>
      </c>
      <c r="AL98" s="23">
        <f>173.41</f>
        <v>173.41</v>
      </c>
      <c r="AM98" s="23">
        <f>166.67</f>
        <v>166.67</v>
      </c>
      <c r="AN98" s="23">
        <f t="shared" si="73"/>
        <v>6.7400000000000091</v>
      </c>
      <c r="AO98" s="24">
        <f t="shared" si="74"/>
        <v>1.0404391912161757</v>
      </c>
      <c r="AP98" s="23">
        <f>144.61</f>
        <v>144.61000000000001</v>
      </c>
      <c r="AQ98" s="23">
        <f>166.67</f>
        <v>166.67</v>
      </c>
      <c r="AR98" s="23">
        <f t="shared" si="75"/>
        <v>-22.059999999999974</v>
      </c>
      <c r="AS98" s="24">
        <f t="shared" si="76"/>
        <v>0.86764264714705719</v>
      </c>
      <c r="AT98" s="22"/>
      <c r="AU98" s="23">
        <f>166.63</f>
        <v>166.63</v>
      </c>
      <c r="AV98" s="23">
        <f t="shared" si="77"/>
        <v>-166.63</v>
      </c>
      <c r="AW98" s="24">
        <f t="shared" si="78"/>
        <v>0</v>
      </c>
      <c r="AX98" s="23">
        <f t="shared" si="79"/>
        <v>1618.56</v>
      </c>
      <c r="AY98" s="23">
        <f t="shared" si="79"/>
        <v>2000</v>
      </c>
      <c r="AZ98" s="23">
        <f t="shared" si="80"/>
        <v>-381.44000000000005</v>
      </c>
      <c r="BA98" s="24">
        <f t="shared" si="81"/>
        <v>0.80928</v>
      </c>
    </row>
    <row r="99" spans="1:53" x14ac:dyDescent="0.3">
      <c r="A99" s="21" t="s">
        <v>171</v>
      </c>
      <c r="B99" s="25">
        <f>((((B94)+(B95))+(B96))+(B97))+(B98)</f>
        <v>1783.2599999999998</v>
      </c>
      <c r="C99" s="25">
        <f>((((C94)+(C95))+(C96))+(C97))+(C98)</f>
        <v>1791.67</v>
      </c>
      <c r="D99" s="25">
        <f t="shared" si="55"/>
        <v>-8.4100000000003092</v>
      </c>
      <c r="E99" s="26">
        <f t="shared" si="56"/>
        <v>0.99530605524454818</v>
      </c>
      <c r="F99" s="25">
        <f>((((F94)+(F95))+(F96))+(F97))+(F98)</f>
        <v>2257.5</v>
      </c>
      <c r="G99" s="25">
        <f>((((G94)+(G95))+(G96))+(G97))+(G98)</f>
        <v>1791.67</v>
      </c>
      <c r="H99" s="25">
        <f t="shared" si="57"/>
        <v>465.82999999999993</v>
      </c>
      <c r="I99" s="26">
        <f t="shared" si="58"/>
        <v>1.2599976558183148</v>
      </c>
      <c r="J99" s="25">
        <f>((((J94)+(J95))+(J96))+(J97))+(J98)</f>
        <v>1260.4100000000001</v>
      </c>
      <c r="K99" s="25">
        <f>((((K94)+(K95))+(K96))+(K97))+(K98)</f>
        <v>1791.67</v>
      </c>
      <c r="L99" s="25">
        <f t="shared" si="59"/>
        <v>-531.26</v>
      </c>
      <c r="M99" s="26">
        <f t="shared" si="60"/>
        <v>0.70348334235657239</v>
      </c>
      <c r="N99" s="25">
        <f>((((N94)+(N95))+(N96))+(N97))+(N98)</f>
        <v>753.1</v>
      </c>
      <c r="O99" s="25">
        <f>((((O94)+(O95))+(O96))+(O97))+(O98)</f>
        <v>1791.67</v>
      </c>
      <c r="P99" s="25">
        <f t="shared" si="61"/>
        <v>-1038.5700000000002</v>
      </c>
      <c r="Q99" s="26">
        <f t="shared" si="62"/>
        <v>0.42033410170399682</v>
      </c>
      <c r="R99" s="25">
        <f>((((R94)+(R95))+(R96))+(R97))+(R98)</f>
        <v>1328.19</v>
      </c>
      <c r="S99" s="25">
        <f>((((S94)+(S95))+(S96))+(S97))+(S98)</f>
        <v>1791.67</v>
      </c>
      <c r="T99" s="25">
        <f t="shared" si="63"/>
        <v>-463.48</v>
      </c>
      <c r="U99" s="26">
        <f t="shared" si="64"/>
        <v>0.74131396964842855</v>
      </c>
      <c r="V99" s="25">
        <f>((((V94)+(V95))+(V96))+(V97))+(V98)</f>
        <v>1597.1</v>
      </c>
      <c r="W99" s="25">
        <f>((((W94)+(W95))+(W96))+(W97))+(W98)</f>
        <v>1791.67</v>
      </c>
      <c r="X99" s="25">
        <f t="shared" si="65"/>
        <v>-194.57000000000016</v>
      </c>
      <c r="Y99" s="26">
        <f t="shared" si="66"/>
        <v>0.89140299273861812</v>
      </c>
      <c r="Z99" s="25">
        <f>((((Z94)+(Z95))+(Z96))+(Z97))+(Z98)</f>
        <v>209.81</v>
      </c>
      <c r="AA99" s="25">
        <f>((((AA94)+(AA95))+(AA96))+(AA97))+(AA98)</f>
        <v>1791.67</v>
      </c>
      <c r="AB99" s="25">
        <f t="shared" si="67"/>
        <v>-1581.8600000000001</v>
      </c>
      <c r="AC99" s="26">
        <f t="shared" si="68"/>
        <v>0.11710303794783637</v>
      </c>
      <c r="AD99" s="25">
        <f>((((AD94)+(AD95))+(AD96))+(AD97))+(AD98)</f>
        <v>3121.52</v>
      </c>
      <c r="AE99" s="25">
        <f>((((AE94)+(AE95))+(AE96))+(AE97))+(AE98)</f>
        <v>1791.67</v>
      </c>
      <c r="AF99" s="25">
        <f t="shared" si="69"/>
        <v>1329.85</v>
      </c>
      <c r="AG99" s="26">
        <f t="shared" si="70"/>
        <v>1.7422404795525961</v>
      </c>
      <c r="AH99" s="25">
        <f>((((AH94)+(AH95))+(AH96))+(AH97))+(AH98)</f>
        <v>2532.65</v>
      </c>
      <c r="AI99" s="25">
        <f>((((AI94)+(AI95))+(AI96))+(AI97))+(AI98)</f>
        <v>1791.67</v>
      </c>
      <c r="AJ99" s="25">
        <f t="shared" si="71"/>
        <v>740.98</v>
      </c>
      <c r="AK99" s="26">
        <f t="shared" si="72"/>
        <v>1.4135694631265803</v>
      </c>
      <c r="AL99" s="25">
        <f>((((AL94)+(AL95))+(AL96))+(AL97))+(AL98)</f>
        <v>833.95999999999992</v>
      </c>
      <c r="AM99" s="25">
        <f>((((AM94)+(AM95))+(AM96))+(AM97))+(AM98)</f>
        <v>1791.67</v>
      </c>
      <c r="AN99" s="25">
        <f t="shared" si="73"/>
        <v>-957.71000000000015</v>
      </c>
      <c r="AO99" s="26">
        <f t="shared" si="74"/>
        <v>0.4654651805298966</v>
      </c>
      <c r="AP99" s="25">
        <f>((((AP94)+(AP95))+(AP96))+(AP97))+(AP98)</f>
        <v>184.61</v>
      </c>
      <c r="AQ99" s="25">
        <f>((((AQ94)+(AQ95))+(AQ96))+(AQ97))+(AQ98)</f>
        <v>1791.67</v>
      </c>
      <c r="AR99" s="25">
        <f t="shared" si="75"/>
        <v>-1607.06</v>
      </c>
      <c r="AS99" s="26">
        <f t="shared" si="76"/>
        <v>0.10303794783637613</v>
      </c>
      <c r="AT99" s="25">
        <f>((((AT94)+(AT95))+(AT96))+(AT97))+(AT98)</f>
        <v>0</v>
      </c>
      <c r="AU99" s="25">
        <f>((((AU94)+(AU95))+(AU96))+(AU97))+(AU98)</f>
        <v>1791.63</v>
      </c>
      <c r="AV99" s="25">
        <f t="shared" si="77"/>
        <v>-1791.63</v>
      </c>
      <c r="AW99" s="26">
        <f t="shared" si="78"/>
        <v>0</v>
      </c>
      <c r="AX99" s="25">
        <f t="shared" si="79"/>
        <v>15862.11</v>
      </c>
      <c r="AY99" s="25">
        <f t="shared" si="79"/>
        <v>21500.000000000004</v>
      </c>
      <c r="AZ99" s="25">
        <f t="shared" si="80"/>
        <v>-5637.8900000000031</v>
      </c>
      <c r="BA99" s="26">
        <f t="shared" si="81"/>
        <v>0.7377725581395348</v>
      </c>
    </row>
    <row r="100" spans="1:53" x14ac:dyDescent="0.3">
      <c r="A100" s="21" t="s">
        <v>172</v>
      </c>
      <c r="B100" s="25">
        <f>((((((((((((((((((((((B26)+(B30))+(B31))+(B32))+(B33))+(B34))+(B52))+(B53))+(B54))+(B59))+(B60))+(B61))+(B62))+(B71))+(B72))+(B73))+(B74))+(B75))+(B79))+(B85))+(B86))+(B93))+(B99)</f>
        <v>64053.01</v>
      </c>
      <c r="C100" s="25">
        <f>((((((((((((((((((((((C26)+(C30))+(C31))+(C32))+(C33))+(C34))+(C52))+(C53))+(C54))+(C59))+(C60))+(C61))+(C62))+(C71))+(C72))+(C73))+(C74))+(C75))+(C79))+(C85))+(C86))+(C93))+(C99)</f>
        <v>80928.349999999991</v>
      </c>
      <c r="D100" s="25">
        <f t="shared" si="55"/>
        <v>-16875.339999999989</v>
      </c>
      <c r="E100" s="26">
        <f t="shared" si="56"/>
        <v>0.79147801728318945</v>
      </c>
      <c r="F100" s="25">
        <f>((((((((((((((((((((((F26)+(F30))+(F31))+(F32))+(F33))+(F34))+(F52))+(F53))+(F54))+(F59))+(F60))+(F61))+(F62))+(F71))+(F72))+(F73))+(F74))+(F75))+(F79))+(F85))+(F86))+(F93))+(F99)</f>
        <v>64449.850000000006</v>
      </c>
      <c r="G100" s="25">
        <f>((((((((((((((((((((((G26)+(G30))+(G31))+(G32))+(G33))+(G34))+(G52))+(G53))+(G54))+(G59))+(G60))+(G61))+(G62))+(G71))+(G72))+(G73))+(G74))+(G75))+(G79))+(G85))+(G86))+(G93))+(G99)</f>
        <v>80928.349999999991</v>
      </c>
      <c r="H100" s="25">
        <f t="shared" si="57"/>
        <v>-16478.499999999985</v>
      </c>
      <c r="I100" s="26">
        <f t="shared" si="58"/>
        <v>0.79638161410679953</v>
      </c>
      <c r="J100" s="25">
        <f>((((((((((((((((((((((J26)+(J30))+(J31))+(J32))+(J33))+(J34))+(J52))+(J53))+(J54))+(J59))+(J60))+(J61))+(J62))+(J71))+(J72))+(J73))+(J74))+(J75))+(J79))+(J85))+(J86))+(J93))+(J99)</f>
        <v>54219.010000000009</v>
      </c>
      <c r="K100" s="25">
        <f>((((((((((((((((((((((K26)+(K30))+(K31))+(K32))+(K33))+(K34))+(K52))+(K53))+(K54))+(K59))+(K60))+(K61))+(K62))+(K71))+(K72))+(K73))+(K74))+(K75))+(K79))+(K85))+(K86))+(K93))+(K99)</f>
        <v>80928.349999999991</v>
      </c>
      <c r="L100" s="25">
        <f t="shared" si="59"/>
        <v>-26709.339999999982</v>
      </c>
      <c r="M100" s="26">
        <f t="shared" si="60"/>
        <v>0.66996312169962713</v>
      </c>
      <c r="N100" s="25">
        <f>((((((((((((((((((((((N26)+(N30))+(N31))+(N32))+(N33))+(N34))+(N52))+(N53))+(N54))+(N59))+(N60))+(N61))+(N62))+(N71))+(N72))+(N73))+(N74))+(N75))+(N79))+(N85))+(N86))+(N93))+(N99)</f>
        <v>59840.57999999998</v>
      </c>
      <c r="O100" s="25">
        <f>((((((((((((((((((((((O26)+(O30))+(O31))+(O32))+(O33))+(O34))+(O52))+(O53))+(O54))+(O59))+(O60))+(O61))+(O62))+(O71))+(O72))+(O73))+(O74))+(O75))+(O79))+(O85))+(O86))+(O93))+(O99)</f>
        <v>80928.349999999991</v>
      </c>
      <c r="P100" s="25">
        <f t="shared" si="61"/>
        <v>-21087.770000000011</v>
      </c>
      <c r="Q100" s="26">
        <f t="shared" si="62"/>
        <v>0.73942666568637549</v>
      </c>
      <c r="R100" s="25">
        <f>((((((((((((((((((((((R26)+(R30))+(R31))+(R32))+(R33))+(R34))+(R52))+(R53))+(R54))+(R59))+(R60))+(R61))+(R62))+(R71))+(R72))+(R73))+(R74))+(R75))+(R79))+(R85))+(R86))+(R93))+(R99)</f>
        <v>60436.84</v>
      </c>
      <c r="S100" s="25">
        <f>((((((((((((((((((((((S26)+(S30))+(S31))+(S32))+(S33))+(S34))+(S52))+(S53))+(S54))+(S59))+(S60))+(S61))+(S62))+(S71))+(S72))+(S73))+(S74))+(S75))+(S79))+(S85))+(S86))+(S93))+(S99)</f>
        <v>80928.349999999991</v>
      </c>
      <c r="T100" s="25">
        <f t="shared" si="63"/>
        <v>-20491.509999999995</v>
      </c>
      <c r="U100" s="26">
        <f t="shared" si="64"/>
        <v>0.74679441753106302</v>
      </c>
      <c r="V100" s="25">
        <f>((((((((((((((((((((((V26)+(V30))+(V31))+(V32))+(V33))+(V34))+(V52))+(V53))+(V54))+(V59))+(V60))+(V61))+(V62))+(V71))+(V72))+(V73))+(V74))+(V75))+(V79))+(V85))+(V86))+(V93))+(V99)</f>
        <v>65173.700000000004</v>
      </c>
      <c r="W100" s="25">
        <f>((((((((((((((((((((((W26)+(W30))+(W31))+(W32))+(W33))+(W34))+(W52))+(W53))+(W54))+(W59))+(W60))+(W61))+(W62))+(W71))+(W72))+(W73))+(W74))+(W75))+(W79))+(W85))+(W86))+(W93))+(W99)</f>
        <v>80928.349999999991</v>
      </c>
      <c r="X100" s="25">
        <f t="shared" si="65"/>
        <v>-15754.649999999987</v>
      </c>
      <c r="Y100" s="26">
        <f t="shared" si="66"/>
        <v>0.80532594572853655</v>
      </c>
      <c r="Z100" s="25">
        <f>((((((((((((((((((((((Z26)+(Z30))+(Z31))+(Z32))+(Z33))+(Z34))+(Z52))+(Z53))+(Z54))+(Z59))+(Z60))+(Z61))+(Z62))+(Z71))+(Z72))+(Z73))+(Z74))+(Z75))+(Z79))+(Z85))+(Z86))+(Z93))+(Z99)</f>
        <v>63695.679999999993</v>
      </c>
      <c r="AA100" s="25">
        <f>((((((((((((((((((((((AA26)+(AA30))+(AA31))+(AA32))+(AA33))+(AA34))+(AA52))+(AA53))+(AA54))+(AA59))+(AA60))+(AA61))+(AA62))+(AA71))+(AA72))+(AA73))+(AA74))+(AA75))+(AA79))+(AA85))+(AA86))+(AA93))+(AA99)</f>
        <v>80928.349999999991</v>
      </c>
      <c r="AB100" s="25">
        <f t="shared" si="67"/>
        <v>-17232.669999999998</v>
      </c>
      <c r="AC100" s="26">
        <f t="shared" si="68"/>
        <v>0.78706263009192701</v>
      </c>
      <c r="AD100" s="25">
        <f>((((((((((((((((((((((AD26)+(AD30))+(AD31))+(AD32))+(AD33))+(AD34))+(AD52))+(AD53))+(AD54))+(AD59))+(AD60))+(AD61))+(AD62))+(AD71))+(AD72))+(AD73))+(AD74))+(AD75))+(AD79))+(AD85))+(AD86))+(AD93))+(AD99)</f>
        <v>57487.749999999993</v>
      </c>
      <c r="AE100" s="25">
        <f>((((((((((((((((((((((AE26)+(AE30))+(AE31))+(AE32))+(AE33))+(AE34))+(AE52))+(AE53))+(AE54))+(AE59))+(AE60))+(AE61))+(AE62))+(AE71))+(AE72))+(AE73))+(AE74))+(AE75))+(AE79))+(AE85))+(AE86))+(AE93))+(AE99)</f>
        <v>80928.349999999991</v>
      </c>
      <c r="AF100" s="25">
        <f t="shared" si="69"/>
        <v>-23440.6</v>
      </c>
      <c r="AG100" s="26">
        <f t="shared" si="70"/>
        <v>0.71035366469228645</v>
      </c>
      <c r="AH100" s="25">
        <f>((((((((((((((((((((((AH26)+(AH30))+(AH31))+(AH32))+(AH33))+(AH34))+(AH52))+(AH53))+(AH54))+(AH59))+(AH60))+(AH61))+(AH62))+(AH71))+(AH72))+(AH73))+(AH74))+(AH75))+(AH79))+(AH85))+(AH86))+(AH93))+(AH99)</f>
        <v>74797.209999999977</v>
      </c>
      <c r="AI100" s="25">
        <f>((((((((((((((((((((((AI26)+(AI30))+(AI31))+(AI32))+(AI33))+(AI34))+(AI52))+(AI53))+(AI54))+(AI59))+(AI60))+(AI61))+(AI62))+(AI71))+(AI72))+(AI73))+(AI74))+(AI75))+(AI79))+(AI85))+(AI86))+(AI93))+(AI99)</f>
        <v>80928.349999999991</v>
      </c>
      <c r="AJ100" s="25">
        <f t="shared" si="71"/>
        <v>-6131.140000000014</v>
      </c>
      <c r="AK100" s="26">
        <f t="shared" si="72"/>
        <v>0.92423989862637734</v>
      </c>
      <c r="AL100" s="25">
        <f>((((((((((((((((((((((AL26)+(AL30))+(AL31))+(AL32))+(AL33))+(AL34))+(AL52))+(AL53))+(AL54))+(AL59))+(AL60))+(AL61))+(AL62))+(AL71))+(AL72))+(AL73))+(AL74))+(AL75))+(AL79))+(AL85))+(AL86))+(AL93))+(AL99)</f>
        <v>53401.079999999994</v>
      </c>
      <c r="AM100" s="25">
        <f>((((((((((((((((((((((AM26)+(AM30))+(AM31))+(AM32))+(AM33))+(AM34))+(AM52))+(AM53))+(AM54))+(AM59))+(AM60))+(AM61))+(AM62))+(AM71))+(AM72))+(AM73))+(AM74))+(AM75))+(AM79))+(AM85))+(AM86))+(AM93))+(AM99)</f>
        <v>80928.349999999991</v>
      </c>
      <c r="AN100" s="25">
        <f t="shared" si="73"/>
        <v>-27527.269999999997</v>
      </c>
      <c r="AO100" s="26">
        <f t="shared" si="74"/>
        <v>0.65985628027755416</v>
      </c>
      <c r="AP100" s="25">
        <f>((((((((((((((((((((((AP26)+(AP30))+(AP31))+(AP32))+(AP33))+(AP34))+(AP52))+(AP53))+(AP54))+(AP59))+(AP60))+(AP61))+(AP62))+(AP71))+(AP72))+(AP73))+(AP74))+(AP75))+(AP79))+(AP85))+(AP86))+(AP93))+(AP99)</f>
        <v>31866.769999999997</v>
      </c>
      <c r="AQ100" s="25">
        <f>((((((((((((((((((((((AQ26)+(AQ30))+(AQ31))+(AQ32))+(AQ33))+(AQ34))+(AQ52))+(AQ53))+(AQ54))+(AQ59))+(AQ60))+(AQ61))+(AQ62))+(AQ71))+(AQ72))+(AQ73))+(AQ74))+(AQ75))+(AQ79))+(AQ85))+(AQ86))+(AQ93))+(AQ99)</f>
        <v>80928.349999999991</v>
      </c>
      <c r="AR100" s="25">
        <f t="shared" si="75"/>
        <v>-49061.579999999994</v>
      </c>
      <c r="AS100" s="26">
        <f t="shared" si="76"/>
        <v>0.39376522565948768</v>
      </c>
      <c r="AT100" s="25">
        <f>((((((((((((((((((((((AT26)+(AT30))+(AT31))+(AT32))+(AT33))+(AT34))+(AT52))+(AT53))+(AT54))+(AT59))+(AT60))+(AT61))+(AT62))+(AT71))+(AT72))+(AT73))+(AT74))+(AT75))+(AT79))+(AT85))+(AT86))+(AT93))+(AT99)</f>
        <v>0</v>
      </c>
      <c r="AU100" s="25">
        <f>((((((((((((((((((((((AU26)+(AU30))+(AU31))+(AU32))+(AU33))+(AU34))+(AU52))+(AU53))+(AU54))+(AU59))+(AU60))+(AU61))+(AU62))+(AU71))+(AU72))+(AU73))+(AU74))+(AU75))+(AU79))+(AU85))+(AU86))+(AU93))+(AU99)</f>
        <v>80928.150000000009</v>
      </c>
      <c r="AV100" s="25">
        <f t="shared" si="77"/>
        <v>-80928.150000000009</v>
      </c>
      <c r="AW100" s="26">
        <f t="shared" si="78"/>
        <v>0</v>
      </c>
      <c r="AX100" s="25">
        <f t="shared" si="79"/>
        <v>649421.48</v>
      </c>
      <c r="AY100" s="25">
        <f t="shared" si="79"/>
        <v>971139.99999999988</v>
      </c>
      <c r="AZ100" s="25">
        <f t="shared" si="80"/>
        <v>-321718.5199999999</v>
      </c>
      <c r="BA100" s="26">
        <f t="shared" si="81"/>
        <v>0.66872076116728796</v>
      </c>
    </row>
    <row r="101" spans="1:53" x14ac:dyDescent="0.3">
      <c r="A101" s="21" t="s">
        <v>173</v>
      </c>
      <c r="B101" s="25">
        <f>(B19)-(B100)</f>
        <v>-30519.890000000007</v>
      </c>
      <c r="C101" s="25">
        <f>(C19)-(C100)</f>
        <v>2137.9100000000035</v>
      </c>
      <c r="D101" s="25">
        <f t="shared" si="55"/>
        <v>-32657.80000000001</v>
      </c>
      <c r="E101" s="26">
        <f t="shared" si="56"/>
        <v>-14.275572872571791</v>
      </c>
      <c r="F101" s="25">
        <f>(F19)-(F100)</f>
        <v>278088.61</v>
      </c>
      <c r="G101" s="25">
        <f>(G19)-(G100)</f>
        <v>2137.9100000000035</v>
      </c>
      <c r="H101" s="25">
        <f t="shared" si="57"/>
        <v>275950.69999999995</v>
      </c>
      <c r="I101" s="26">
        <f t="shared" si="58"/>
        <v>130.0749844474274</v>
      </c>
      <c r="J101" s="25">
        <f>(J19)-(J100)</f>
        <v>12495.029999999999</v>
      </c>
      <c r="K101" s="25">
        <f>(K19)-(K100)</f>
        <v>2137.9100000000035</v>
      </c>
      <c r="L101" s="25">
        <f t="shared" si="59"/>
        <v>10357.119999999995</v>
      </c>
      <c r="M101" s="26">
        <f t="shared" si="60"/>
        <v>5.8445070185367856</v>
      </c>
      <c r="N101" s="25">
        <f>(N19)-(N100)</f>
        <v>132335.76</v>
      </c>
      <c r="O101" s="25">
        <f>(O19)-(O100)</f>
        <v>2137.9100000000035</v>
      </c>
      <c r="P101" s="25">
        <f t="shared" si="61"/>
        <v>130197.85</v>
      </c>
      <c r="Q101" s="26">
        <f t="shared" si="62"/>
        <v>61.899593528258812</v>
      </c>
      <c r="R101" s="25">
        <f>(R19)-(R100)</f>
        <v>-8321.14</v>
      </c>
      <c r="S101" s="25">
        <f>(S19)-(S100)</f>
        <v>2137.9100000000035</v>
      </c>
      <c r="T101" s="25">
        <f t="shared" si="63"/>
        <v>-10459.050000000003</v>
      </c>
      <c r="U101" s="26">
        <f t="shared" si="64"/>
        <v>-3.8921844231048013</v>
      </c>
      <c r="V101" s="25">
        <f>(V19)-(V100)</f>
        <v>212320.32000000007</v>
      </c>
      <c r="W101" s="25">
        <f>(W19)-(W100)</f>
        <v>2137.9100000000035</v>
      </c>
      <c r="X101" s="25">
        <f t="shared" si="65"/>
        <v>210182.41000000006</v>
      </c>
      <c r="Y101" s="26">
        <f t="shared" si="66"/>
        <v>99.312094522220164</v>
      </c>
      <c r="Z101" s="25">
        <f>(Z19)-(Z100)</f>
        <v>-44066.889999999992</v>
      </c>
      <c r="AA101" s="25">
        <f>(AA19)-(AA100)</f>
        <v>2137.9100000000035</v>
      </c>
      <c r="AB101" s="25">
        <f t="shared" si="67"/>
        <v>-46204.799999999996</v>
      </c>
      <c r="AC101" s="26">
        <f t="shared" si="68"/>
        <v>-20.612135216169026</v>
      </c>
      <c r="AD101" s="25">
        <f>(AD19)-(AD100)</f>
        <v>-41951.899999999994</v>
      </c>
      <c r="AE101" s="25">
        <f>(AE19)-(AE100)</f>
        <v>2137.9100000000035</v>
      </c>
      <c r="AF101" s="25">
        <f t="shared" si="69"/>
        <v>-44089.81</v>
      </c>
      <c r="AG101" s="26">
        <f t="shared" si="70"/>
        <v>-19.622855966808672</v>
      </c>
      <c r="AH101" s="25">
        <f>(AH19)-(AH100)</f>
        <v>-60798.909999999974</v>
      </c>
      <c r="AI101" s="25">
        <f>(AI19)-(AI100)</f>
        <v>2137.9100000000035</v>
      </c>
      <c r="AJ101" s="25">
        <f t="shared" si="71"/>
        <v>-62936.819999999978</v>
      </c>
      <c r="AK101" s="26">
        <f t="shared" si="72"/>
        <v>-28.438479636654431</v>
      </c>
      <c r="AL101" s="25">
        <f>(AL19)-(AL100)</f>
        <v>-40451.929999999993</v>
      </c>
      <c r="AM101" s="25">
        <f>(AM19)-(AM100)</f>
        <v>2137.9100000000035</v>
      </c>
      <c r="AN101" s="25">
        <f t="shared" si="73"/>
        <v>-42589.84</v>
      </c>
      <c r="AO101" s="26">
        <f t="shared" si="74"/>
        <v>-18.921250192945411</v>
      </c>
      <c r="AP101" s="25">
        <f>(AP19)-(AP100)</f>
        <v>-31866.769999999997</v>
      </c>
      <c r="AQ101" s="25">
        <f>(AQ19)-(AQ100)</f>
        <v>2137.9100000000035</v>
      </c>
      <c r="AR101" s="25">
        <f t="shared" si="75"/>
        <v>-34004.68</v>
      </c>
      <c r="AS101" s="26">
        <f t="shared" si="76"/>
        <v>-14.905571329008211</v>
      </c>
      <c r="AT101" s="25">
        <f>(AT19)-(AT100)</f>
        <v>0</v>
      </c>
      <c r="AU101" s="25">
        <f>(AU19)-(AU100)</f>
        <v>2137.9899999999907</v>
      </c>
      <c r="AV101" s="25">
        <f t="shared" si="77"/>
        <v>-2137.9899999999907</v>
      </c>
      <c r="AW101" s="26">
        <f t="shared" si="78"/>
        <v>0</v>
      </c>
      <c r="AX101" s="25">
        <f t="shared" si="79"/>
        <v>377262.29000000004</v>
      </c>
      <c r="AY101" s="25">
        <f t="shared" si="79"/>
        <v>25655.000000000029</v>
      </c>
      <c r="AZ101" s="25">
        <f t="shared" si="80"/>
        <v>351607.29000000004</v>
      </c>
      <c r="BA101" s="26">
        <f t="shared" si="81"/>
        <v>14.70521496784251</v>
      </c>
    </row>
    <row r="102" spans="1:53" x14ac:dyDescent="0.3">
      <c r="A102" s="21" t="s">
        <v>61</v>
      </c>
      <c r="B102" s="25">
        <f>(B101)+(0)</f>
        <v>-30519.890000000007</v>
      </c>
      <c r="C102" s="25">
        <f>(C101)+(0)</f>
        <v>2137.9100000000035</v>
      </c>
      <c r="D102" s="25">
        <f t="shared" si="55"/>
        <v>-32657.80000000001</v>
      </c>
      <c r="E102" s="26">
        <f t="shared" si="56"/>
        <v>-14.275572872571791</v>
      </c>
      <c r="F102" s="25">
        <f>(F101)+(0)</f>
        <v>278088.61</v>
      </c>
      <c r="G102" s="25">
        <f>(G101)+(0)</f>
        <v>2137.9100000000035</v>
      </c>
      <c r="H102" s="25">
        <f t="shared" si="57"/>
        <v>275950.69999999995</v>
      </c>
      <c r="I102" s="26">
        <f t="shared" si="58"/>
        <v>130.0749844474274</v>
      </c>
      <c r="J102" s="25">
        <f>(J101)+(0)</f>
        <v>12495.029999999999</v>
      </c>
      <c r="K102" s="25">
        <f>(K101)+(0)</f>
        <v>2137.9100000000035</v>
      </c>
      <c r="L102" s="25">
        <f t="shared" si="59"/>
        <v>10357.119999999995</v>
      </c>
      <c r="M102" s="26">
        <f t="shared" si="60"/>
        <v>5.8445070185367856</v>
      </c>
      <c r="N102" s="25">
        <f>(N101)+(0)</f>
        <v>132335.76</v>
      </c>
      <c r="O102" s="25">
        <f>(O101)+(0)</f>
        <v>2137.9100000000035</v>
      </c>
      <c r="P102" s="25">
        <f t="shared" si="61"/>
        <v>130197.85</v>
      </c>
      <c r="Q102" s="26">
        <f t="shared" si="62"/>
        <v>61.899593528258812</v>
      </c>
      <c r="R102" s="25">
        <f>(R101)+(0)</f>
        <v>-8321.14</v>
      </c>
      <c r="S102" s="25">
        <f>(S101)+(0)</f>
        <v>2137.9100000000035</v>
      </c>
      <c r="T102" s="25">
        <f t="shared" si="63"/>
        <v>-10459.050000000003</v>
      </c>
      <c r="U102" s="26">
        <f t="shared" si="64"/>
        <v>-3.8921844231048013</v>
      </c>
      <c r="V102" s="25">
        <f>(V101)+(0)</f>
        <v>212320.32000000007</v>
      </c>
      <c r="W102" s="25">
        <f>(W101)+(0)</f>
        <v>2137.9100000000035</v>
      </c>
      <c r="X102" s="25">
        <f t="shared" si="65"/>
        <v>210182.41000000006</v>
      </c>
      <c r="Y102" s="26">
        <f t="shared" si="66"/>
        <v>99.312094522220164</v>
      </c>
      <c r="Z102" s="25">
        <f>(Z101)+(0)</f>
        <v>-44066.889999999992</v>
      </c>
      <c r="AA102" s="25">
        <f>(AA101)+(0)</f>
        <v>2137.9100000000035</v>
      </c>
      <c r="AB102" s="25">
        <f t="shared" si="67"/>
        <v>-46204.799999999996</v>
      </c>
      <c r="AC102" s="26">
        <f t="shared" si="68"/>
        <v>-20.612135216169026</v>
      </c>
      <c r="AD102" s="25">
        <f>(AD101)+(0)</f>
        <v>-41951.899999999994</v>
      </c>
      <c r="AE102" s="25">
        <f>(AE101)+(0)</f>
        <v>2137.9100000000035</v>
      </c>
      <c r="AF102" s="25">
        <f t="shared" si="69"/>
        <v>-44089.81</v>
      </c>
      <c r="AG102" s="26">
        <f t="shared" si="70"/>
        <v>-19.622855966808672</v>
      </c>
      <c r="AH102" s="25">
        <f>(AH101)+(0)</f>
        <v>-60798.909999999974</v>
      </c>
      <c r="AI102" s="25">
        <f>(AI101)+(0)</f>
        <v>2137.9100000000035</v>
      </c>
      <c r="AJ102" s="25">
        <f t="shared" si="71"/>
        <v>-62936.819999999978</v>
      </c>
      <c r="AK102" s="26">
        <f t="shared" si="72"/>
        <v>-28.438479636654431</v>
      </c>
      <c r="AL102" s="25">
        <f>(AL101)+(0)</f>
        <v>-40451.929999999993</v>
      </c>
      <c r="AM102" s="25">
        <f>(AM101)+(0)</f>
        <v>2137.9100000000035</v>
      </c>
      <c r="AN102" s="25">
        <f t="shared" si="73"/>
        <v>-42589.84</v>
      </c>
      <c r="AO102" s="26">
        <f t="shared" si="74"/>
        <v>-18.921250192945411</v>
      </c>
      <c r="AP102" s="25">
        <f>(AP101)+(0)</f>
        <v>-31866.769999999997</v>
      </c>
      <c r="AQ102" s="25">
        <f>(AQ101)+(0)</f>
        <v>2137.9100000000035</v>
      </c>
      <c r="AR102" s="25">
        <f t="shared" si="75"/>
        <v>-34004.68</v>
      </c>
      <c r="AS102" s="26">
        <f t="shared" si="76"/>
        <v>-14.905571329008211</v>
      </c>
      <c r="AT102" s="25">
        <f>(AT101)+(0)</f>
        <v>0</v>
      </c>
      <c r="AU102" s="25">
        <f>(AU101)+(0)</f>
        <v>2137.9899999999907</v>
      </c>
      <c r="AV102" s="25">
        <f t="shared" si="77"/>
        <v>-2137.9899999999907</v>
      </c>
      <c r="AW102" s="26">
        <f t="shared" si="78"/>
        <v>0</v>
      </c>
      <c r="AX102" s="25">
        <f t="shared" si="79"/>
        <v>377262.29000000004</v>
      </c>
      <c r="AY102" s="25">
        <f t="shared" si="79"/>
        <v>25655.000000000029</v>
      </c>
      <c r="AZ102" s="25">
        <f t="shared" si="80"/>
        <v>351607.29000000004</v>
      </c>
      <c r="BA102" s="26">
        <f t="shared" si="81"/>
        <v>14.70521496784251</v>
      </c>
    </row>
    <row r="103" spans="1:53" x14ac:dyDescent="0.3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</row>
    <row r="106" spans="1:53" x14ac:dyDescent="0.3">
      <c r="A106" s="63" t="s">
        <v>219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</row>
  </sheetData>
  <mergeCells count="17">
    <mergeCell ref="A106:BA106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F64F-9A17-4D9D-B520-FB6CA7683582}">
  <dimension ref="A1:B112"/>
  <sheetViews>
    <sheetView workbookViewId="0">
      <selection sqref="A1:B1"/>
    </sheetView>
  </sheetViews>
  <sheetFormatPr defaultColWidth="12.44140625" defaultRowHeight="15.6" x14ac:dyDescent="0.3"/>
  <cols>
    <col min="1" max="1" width="39.88671875" style="1" customWidth="1"/>
    <col min="2" max="2" width="16.88671875" style="1" customWidth="1"/>
    <col min="3" max="16384" width="12.44140625" style="2"/>
  </cols>
  <sheetData>
    <row r="1" spans="1:2" x14ac:dyDescent="0.3">
      <c r="A1" s="53" t="s">
        <v>174</v>
      </c>
      <c r="B1" s="54"/>
    </row>
    <row r="2" spans="1:2" x14ac:dyDescent="0.3">
      <c r="A2" s="55" t="s">
        <v>1</v>
      </c>
      <c r="B2" s="54"/>
    </row>
    <row r="3" spans="1:2" x14ac:dyDescent="0.3">
      <c r="A3" s="56" t="s">
        <v>220</v>
      </c>
      <c r="B3" s="54"/>
    </row>
    <row r="5" spans="1:2" x14ac:dyDescent="0.3">
      <c r="A5" s="3" t="s">
        <v>175</v>
      </c>
      <c r="B5" s="3" t="s">
        <v>3</v>
      </c>
    </row>
    <row r="6" spans="1:2" x14ac:dyDescent="0.3">
      <c r="A6" s="4" t="s">
        <v>176</v>
      </c>
      <c r="B6" s="8">
        <v>356724.81</v>
      </c>
    </row>
    <row r="7" spans="1:2" x14ac:dyDescent="0.3">
      <c r="A7" s="4" t="s">
        <v>221</v>
      </c>
      <c r="B7" s="8">
        <v>2.79</v>
      </c>
    </row>
    <row r="8" spans="1:2" x14ac:dyDescent="0.3">
      <c r="A8" s="4" t="s">
        <v>177</v>
      </c>
      <c r="B8" s="8">
        <v>900</v>
      </c>
    </row>
    <row r="9" spans="1:2" x14ac:dyDescent="0.3">
      <c r="A9" s="4" t="s">
        <v>178</v>
      </c>
      <c r="B9" s="8">
        <v>3399</v>
      </c>
    </row>
    <row r="10" spans="1:2" x14ac:dyDescent="0.3">
      <c r="A10" s="4" t="s">
        <v>222</v>
      </c>
      <c r="B10" s="8">
        <v>150</v>
      </c>
    </row>
    <row r="11" spans="1:2" x14ac:dyDescent="0.3">
      <c r="A11" s="4" t="s">
        <v>223</v>
      </c>
      <c r="B11" s="8">
        <v>9.34</v>
      </c>
    </row>
    <row r="12" spans="1:2" x14ac:dyDescent="0.3">
      <c r="A12" s="4" t="s">
        <v>179</v>
      </c>
      <c r="B12" s="8">
        <v>2858.32</v>
      </c>
    </row>
    <row r="13" spans="1:2" x14ac:dyDescent="0.3">
      <c r="A13" s="4" t="s">
        <v>224</v>
      </c>
      <c r="B13" s="8">
        <v>400</v>
      </c>
    </row>
    <row r="14" spans="1:2" x14ac:dyDescent="0.3">
      <c r="A14" s="4" t="s">
        <v>180</v>
      </c>
      <c r="B14" s="8">
        <v>372.37</v>
      </c>
    </row>
    <row r="15" spans="1:2" x14ac:dyDescent="0.3">
      <c r="A15" s="4" t="s">
        <v>225</v>
      </c>
      <c r="B15" s="8">
        <v>740</v>
      </c>
    </row>
    <row r="16" spans="1:2" x14ac:dyDescent="0.3">
      <c r="A16" s="4" t="s">
        <v>226</v>
      </c>
      <c r="B16" s="8">
        <v>422</v>
      </c>
    </row>
    <row r="17" spans="1:2" x14ac:dyDescent="0.3">
      <c r="A17" s="4" t="s">
        <v>227</v>
      </c>
      <c r="B17" s="8">
        <v>141.97</v>
      </c>
    </row>
    <row r="18" spans="1:2" x14ac:dyDescent="0.3">
      <c r="A18" s="4" t="s">
        <v>228</v>
      </c>
      <c r="B18" s="8">
        <v>150</v>
      </c>
    </row>
    <row r="19" spans="1:2" x14ac:dyDescent="0.3">
      <c r="A19" s="4" t="s">
        <v>229</v>
      </c>
      <c r="B19" s="8">
        <v>300</v>
      </c>
    </row>
    <row r="20" spans="1:2" x14ac:dyDescent="0.3">
      <c r="A20" s="4" t="s">
        <v>230</v>
      </c>
      <c r="B20" s="8">
        <v>895</v>
      </c>
    </row>
    <row r="21" spans="1:2" x14ac:dyDescent="0.3">
      <c r="A21" s="4" t="s">
        <v>231</v>
      </c>
      <c r="B21" s="8">
        <v>210.87</v>
      </c>
    </row>
    <row r="22" spans="1:2" x14ac:dyDescent="0.3">
      <c r="A22" s="4" t="s">
        <v>181</v>
      </c>
      <c r="B22" s="8">
        <v>2826.88</v>
      </c>
    </row>
    <row r="23" spans="1:2" x14ac:dyDescent="0.3">
      <c r="A23" s="4" t="s">
        <v>182</v>
      </c>
      <c r="B23" s="8">
        <v>21579.71</v>
      </c>
    </row>
    <row r="24" spans="1:2" x14ac:dyDescent="0.3">
      <c r="A24" s="4" t="s">
        <v>183</v>
      </c>
      <c r="B24" s="8">
        <v>508.2</v>
      </c>
    </row>
    <row r="25" spans="1:2" x14ac:dyDescent="0.3">
      <c r="A25" s="4" t="s">
        <v>184</v>
      </c>
      <c r="B25" s="8">
        <v>11902.1</v>
      </c>
    </row>
    <row r="26" spans="1:2" x14ac:dyDescent="0.3">
      <c r="A26" s="4" t="s">
        <v>232</v>
      </c>
      <c r="B26" s="8">
        <v>330.26</v>
      </c>
    </row>
    <row r="27" spans="1:2" x14ac:dyDescent="0.3">
      <c r="A27" s="4" t="s">
        <v>233</v>
      </c>
      <c r="B27" s="8">
        <v>1281.8</v>
      </c>
    </row>
    <row r="28" spans="1:2" x14ac:dyDescent="0.3">
      <c r="A28" s="4" t="s">
        <v>185</v>
      </c>
      <c r="B28" s="8">
        <v>17310.82</v>
      </c>
    </row>
    <row r="29" spans="1:2" x14ac:dyDescent="0.3">
      <c r="A29" s="4" t="s">
        <v>234</v>
      </c>
      <c r="B29" s="8">
        <v>833</v>
      </c>
    </row>
    <row r="30" spans="1:2" x14ac:dyDescent="0.3">
      <c r="A30" s="4" t="s">
        <v>186</v>
      </c>
      <c r="B30" s="8">
        <v>5170.3900000000003</v>
      </c>
    </row>
    <row r="31" spans="1:2" x14ac:dyDescent="0.3">
      <c r="A31" s="4" t="s">
        <v>235</v>
      </c>
      <c r="B31" s="8">
        <v>215</v>
      </c>
    </row>
    <row r="32" spans="1:2" x14ac:dyDescent="0.3">
      <c r="A32" s="4" t="s">
        <v>236</v>
      </c>
      <c r="B32" s="8">
        <v>700</v>
      </c>
    </row>
    <row r="33" spans="1:2" x14ac:dyDescent="0.3">
      <c r="A33" s="4" t="s">
        <v>237</v>
      </c>
      <c r="B33" s="8">
        <v>500</v>
      </c>
    </row>
    <row r="34" spans="1:2" x14ac:dyDescent="0.3">
      <c r="A34" s="4" t="s">
        <v>238</v>
      </c>
      <c r="B34" s="8">
        <v>10</v>
      </c>
    </row>
    <row r="35" spans="1:2" x14ac:dyDescent="0.3">
      <c r="A35" s="4" t="s">
        <v>239</v>
      </c>
      <c r="B35" s="8">
        <v>1441.33</v>
      </c>
    </row>
    <row r="36" spans="1:2" x14ac:dyDescent="0.3">
      <c r="A36" s="4" t="s">
        <v>240</v>
      </c>
      <c r="B36" s="8">
        <v>325</v>
      </c>
    </row>
    <row r="37" spans="1:2" x14ac:dyDescent="0.3">
      <c r="A37" s="4" t="s">
        <v>241</v>
      </c>
      <c r="B37" s="8">
        <v>1053.8599999999999</v>
      </c>
    </row>
    <row r="38" spans="1:2" x14ac:dyDescent="0.3">
      <c r="A38" s="4" t="s">
        <v>187</v>
      </c>
      <c r="B38" s="8">
        <v>36.51</v>
      </c>
    </row>
    <row r="39" spans="1:2" x14ac:dyDescent="0.3">
      <c r="A39" s="4" t="s">
        <v>242</v>
      </c>
      <c r="B39" s="8">
        <v>148.54</v>
      </c>
    </row>
    <row r="40" spans="1:2" x14ac:dyDescent="0.3">
      <c r="A40" s="4" t="s">
        <v>188</v>
      </c>
      <c r="B40" s="8">
        <v>2018</v>
      </c>
    </row>
    <row r="41" spans="1:2" x14ac:dyDescent="0.3">
      <c r="A41" s="4" t="s">
        <v>243</v>
      </c>
      <c r="B41" s="8">
        <v>257.5</v>
      </c>
    </row>
    <row r="42" spans="1:2" x14ac:dyDescent="0.3">
      <c r="A42" s="4" t="s">
        <v>189</v>
      </c>
      <c r="B42" s="8">
        <v>250</v>
      </c>
    </row>
    <row r="43" spans="1:2" x14ac:dyDescent="0.3">
      <c r="A43" s="4" t="s">
        <v>244</v>
      </c>
      <c r="B43" s="8">
        <v>26.82</v>
      </c>
    </row>
    <row r="44" spans="1:2" x14ac:dyDescent="0.3">
      <c r="A44" s="4" t="s">
        <v>245</v>
      </c>
      <c r="B44" s="8">
        <v>4970</v>
      </c>
    </row>
    <row r="45" spans="1:2" x14ac:dyDescent="0.3">
      <c r="A45" s="4" t="s">
        <v>190</v>
      </c>
      <c r="B45" s="8">
        <v>1495</v>
      </c>
    </row>
    <row r="46" spans="1:2" x14ac:dyDescent="0.3">
      <c r="A46" s="4" t="s">
        <v>246</v>
      </c>
      <c r="B46" s="8">
        <v>94.87</v>
      </c>
    </row>
    <row r="47" spans="1:2" x14ac:dyDescent="0.3">
      <c r="A47" s="4" t="s">
        <v>247</v>
      </c>
      <c r="B47" s="8">
        <v>327.41000000000003</v>
      </c>
    </row>
    <row r="48" spans="1:2" x14ac:dyDescent="0.3">
      <c r="A48" s="4" t="s">
        <v>248</v>
      </c>
      <c r="B48" s="8">
        <v>600</v>
      </c>
    </row>
    <row r="49" spans="1:2" x14ac:dyDescent="0.3">
      <c r="A49" s="4" t="s">
        <v>249</v>
      </c>
      <c r="B49" s="8">
        <v>32</v>
      </c>
    </row>
    <row r="50" spans="1:2" x14ac:dyDescent="0.3">
      <c r="A50" s="4" t="s">
        <v>191</v>
      </c>
      <c r="B50" s="8">
        <v>170.63</v>
      </c>
    </row>
    <row r="51" spans="1:2" x14ac:dyDescent="0.3">
      <c r="A51" s="4" t="s">
        <v>192</v>
      </c>
      <c r="B51" s="8">
        <v>2500</v>
      </c>
    </row>
    <row r="52" spans="1:2" x14ac:dyDescent="0.3">
      <c r="A52" s="4" t="s">
        <v>250</v>
      </c>
      <c r="B52" s="8">
        <v>295</v>
      </c>
    </row>
    <row r="53" spans="1:2" x14ac:dyDescent="0.3">
      <c r="A53" s="4" t="s">
        <v>251</v>
      </c>
      <c r="B53" s="8">
        <v>1495</v>
      </c>
    </row>
    <row r="54" spans="1:2" x14ac:dyDescent="0.3">
      <c r="A54" s="4" t="s">
        <v>193</v>
      </c>
      <c r="B54" s="8">
        <v>28477.93</v>
      </c>
    </row>
    <row r="55" spans="1:2" x14ac:dyDescent="0.3">
      <c r="A55" s="4" t="s">
        <v>252</v>
      </c>
      <c r="B55" s="8">
        <v>4680</v>
      </c>
    </row>
    <row r="56" spans="1:2" x14ac:dyDescent="0.3">
      <c r="A56" s="4" t="s">
        <v>253</v>
      </c>
      <c r="B56" s="8">
        <v>16.5</v>
      </c>
    </row>
    <row r="57" spans="1:2" x14ac:dyDescent="0.3">
      <c r="A57" s="4" t="s">
        <v>194</v>
      </c>
      <c r="B57" s="8">
        <v>700</v>
      </c>
    </row>
    <row r="58" spans="1:2" x14ac:dyDescent="0.3">
      <c r="A58" s="4" t="s">
        <v>254</v>
      </c>
      <c r="B58" s="8">
        <v>225</v>
      </c>
    </row>
    <row r="59" spans="1:2" x14ac:dyDescent="0.3">
      <c r="A59" s="4" t="s">
        <v>195</v>
      </c>
      <c r="B59" s="8">
        <v>1251.31</v>
      </c>
    </row>
    <row r="60" spans="1:2" x14ac:dyDescent="0.3">
      <c r="A60" s="4" t="s">
        <v>255</v>
      </c>
      <c r="B60" s="8">
        <v>60</v>
      </c>
    </row>
    <row r="61" spans="1:2" x14ac:dyDescent="0.3">
      <c r="A61" s="4" t="s">
        <v>256</v>
      </c>
      <c r="B61" s="8">
        <v>3500</v>
      </c>
    </row>
    <row r="62" spans="1:2" x14ac:dyDescent="0.3">
      <c r="A62" s="4" t="s">
        <v>257</v>
      </c>
      <c r="B62" s="8">
        <v>250</v>
      </c>
    </row>
    <row r="63" spans="1:2" x14ac:dyDescent="0.3">
      <c r="A63" s="4" t="s">
        <v>258</v>
      </c>
      <c r="B63" s="8">
        <v>72.569999999999993</v>
      </c>
    </row>
    <row r="64" spans="1:2" x14ac:dyDescent="0.3">
      <c r="A64" s="4" t="s">
        <v>259</v>
      </c>
      <c r="B64" s="8">
        <v>209.6</v>
      </c>
    </row>
    <row r="65" spans="1:2" x14ac:dyDescent="0.3">
      <c r="A65" s="4" t="s">
        <v>260</v>
      </c>
      <c r="B65" s="8">
        <v>25</v>
      </c>
    </row>
    <row r="66" spans="1:2" x14ac:dyDescent="0.3">
      <c r="A66" s="4" t="s">
        <v>196</v>
      </c>
      <c r="B66" s="8">
        <v>2500</v>
      </c>
    </row>
    <row r="67" spans="1:2" x14ac:dyDescent="0.3">
      <c r="A67" s="4" t="s">
        <v>261</v>
      </c>
      <c r="B67" s="8">
        <v>9.57</v>
      </c>
    </row>
    <row r="68" spans="1:2" x14ac:dyDescent="0.3">
      <c r="A68" s="4" t="s">
        <v>262</v>
      </c>
      <c r="B68" s="8">
        <v>28</v>
      </c>
    </row>
    <row r="69" spans="1:2" x14ac:dyDescent="0.3">
      <c r="A69" s="4" t="s">
        <v>197</v>
      </c>
      <c r="B69" s="8">
        <v>250</v>
      </c>
    </row>
    <row r="70" spans="1:2" x14ac:dyDescent="0.3">
      <c r="A70" s="4" t="s">
        <v>263</v>
      </c>
      <c r="B70" s="8">
        <v>430</v>
      </c>
    </row>
    <row r="71" spans="1:2" x14ac:dyDescent="0.3">
      <c r="A71" s="4" t="s">
        <v>198</v>
      </c>
      <c r="B71" s="8">
        <v>250</v>
      </c>
    </row>
    <row r="72" spans="1:2" x14ac:dyDescent="0.3">
      <c r="A72" s="4" t="s">
        <v>199</v>
      </c>
      <c r="B72" s="8">
        <v>250</v>
      </c>
    </row>
    <row r="73" spans="1:2" x14ac:dyDescent="0.3">
      <c r="A73" s="4" t="s">
        <v>264</v>
      </c>
      <c r="B73" s="8">
        <v>6616.75</v>
      </c>
    </row>
    <row r="74" spans="1:2" x14ac:dyDescent="0.3">
      <c r="A74" s="4" t="s">
        <v>265</v>
      </c>
      <c r="B74" s="8">
        <v>163.43</v>
      </c>
    </row>
    <row r="75" spans="1:2" x14ac:dyDescent="0.3">
      <c r="A75" s="4" t="s">
        <v>200</v>
      </c>
      <c r="B75" s="8">
        <v>9119.39</v>
      </c>
    </row>
    <row r="76" spans="1:2" x14ac:dyDescent="0.3">
      <c r="A76" s="4" t="s">
        <v>266</v>
      </c>
      <c r="B76" s="8">
        <v>172.32</v>
      </c>
    </row>
    <row r="77" spans="1:2" x14ac:dyDescent="0.3">
      <c r="A77" s="4" t="s">
        <v>201</v>
      </c>
      <c r="B77" s="8">
        <v>49.51</v>
      </c>
    </row>
    <row r="78" spans="1:2" x14ac:dyDescent="0.3">
      <c r="A78" s="4" t="s">
        <v>202</v>
      </c>
      <c r="B78" s="8">
        <v>7252.58</v>
      </c>
    </row>
    <row r="79" spans="1:2" x14ac:dyDescent="0.3">
      <c r="A79" s="4" t="s">
        <v>203</v>
      </c>
      <c r="B79" s="8">
        <v>2500</v>
      </c>
    </row>
    <row r="80" spans="1:2" x14ac:dyDescent="0.3">
      <c r="A80" s="4" t="s">
        <v>267</v>
      </c>
      <c r="B80" s="8">
        <v>260</v>
      </c>
    </row>
    <row r="81" spans="1:2" x14ac:dyDescent="0.3">
      <c r="A81" s="4" t="s">
        <v>268</v>
      </c>
      <c r="B81" s="8">
        <v>117.84</v>
      </c>
    </row>
    <row r="82" spans="1:2" x14ac:dyDescent="0.3">
      <c r="A82" s="4" t="s">
        <v>269</v>
      </c>
      <c r="B82" s="8">
        <v>6000</v>
      </c>
    </row>
    <row r="83" spans="1:2" x14ac:dyDescent="0.3">
      <c r="A83" s="4" t="s">
        <v>270</v>
      </c>
      <c r="B83" s="8">
        <v>902.05</v>
      </c>
    </row>
    <row r="84" spans="1:2" x14ac:dyDescent="0.3">
      <c r="A84" s="4" t="s">
        <v>271</v>
      </c>
      <c r="B84" s="8">
        <v>15</v>
      </c>
    </row>
    <row r="85" spans="1:2" x14ac:dyDescent="0.3">
      <c r="A85" s="4" t="s">
        <v>272</v>
      </c>
      <c r="B85" s="8">
        <v>1200</v>
      </c>
    </row>
    <row r="86" spans="1:2" x14ac:dyDescent="0.3">
      <c r="A86" s="4" t="s">
        <v>273</v>
      </c>
      <c r="B86" s="8">
        <v>7500</v>
      </c>
    </row>
    <row r="87" spans="1:2" x14ac:dyDescent="0.3">
      <c r="A87" s="4" t="s">
        <v>204</v>
      </c>
      <c r="B87" s="8">
        <v>37717.699999999997</v>
      </c>
    </row>
    <row r="88" spans="1:2" x14ac:dyDescent="0.3">
      <c r="A88" s="4" t="s">
        <v>205</v>
      </c>
      <c r="B88" s="8">
        <v>1037</v>
      </c>
    </row>
    <row r="89" spans="1:2" x14ac:dyDescent="0.3">
      <c r="A89" s="4" t="s">
        <v>206</v>
      </c>
      <c r="B89" s="8">
        <v>27514.75</v>
      </c>
    </row>
    <row r="90" spans="1:2" x14ac:dyDescent="0.3">
      <c r="A90" s="4" t="s">
        <v>274</v>
      </c>
      <c r="B90" s="8">
        <v>1460.95</v>
      </c>
    </row>
    <row r="91" spans="1:2" x14ac:dyDescent="0.3">
      <c r="A91" s="4" t="s">
        <v>207</v>
      </c>
      <c r="B91" s="8">
        <v>250</v>
      </c>
    </row>
    <row r="92" spans="1:2" x14ac:dyDescent="0.3">
      <c r="A92" s="4" t="s">
        <v>208</v>
      </c>
      <c r="B92" s="8">
        <v>61.62</v>
      </c>
    </row>
    <row r="93" spans="1:2" x14ac:dyDescent="0.3">
      <c r="A93" s="4" t="s">
        <v>275</v>
      </c>
      <c r="B93" s="8">
        <v>10</v>
      </c>
    </row>
    <row r="94" spans="1:2" x14ac:dyDescent="0.3">
      <c r="A94" s="4" t="s">
        <v>209</v>
      </c>
      <c r="B94" s="8">
        <v>1103.5</v>
      </c>
    </row>
    <row r="95" spans="1:2" x14ac:dyDescent="0.3">
      <c r="A95" s="4" t="s">
        <v>276</v>
      </c>
      <c r="B95" s="8">
        <v>479.51</v>
      </c>
    </row>
    <row r="96" spans="1:2" x14ac:dyDescent="0.3">
      <c r="A96" s="4" t="s">
        <v>277</v>
      </c>
      <c r="B96" s="8">
        <v>17</v>
      </c>
    </row>
    <row r="97" spans="1:2" x14ac:dyDescent="0.3">
      <c r="A97" s="4" t="s">
        <v>278</v>
      </c>
      <c r="B97" s="8">
        <v>550</v>
      </c>
    </row>
    <row r="98" spans="1:2" x14ac:dyDescent="0.3">
      <c r="A98" s="4" t="s">
        <v>279</v>
      </c>
      <c r="B98" s="8">
        <v>97.08</v>
      </c>
    </row>
    <row r="99" spans="1:2" x14ac:dyDescent="0.3">
      <c r="A99" s="4" t="s">
        <v>280</v>
      </c>
      <c r="B99" s="8">
        <v>922.5</v>
      </c>
    </row>
    <row r="100" spans="1:2" x14ac:dyDescent="0.3">
      <c r="A100" s="4" t="s">
        <v>281</v>
      </c>
      <c r="B100" s="8">
        <v>1460.95</v>
      </c>
    </row>
    <row r="101" spans="1:2" x14ac:dyDescent="0.3">
      <c r="A101" s="4" t="s">
        <v>282</v>
      </c>
      <c r="B101" s="8">
        <v>150</v>
      </c>
    </row>
    <row r="102" spans="1:2" x14ac:dyDescent="0.3">
      <c r="A102" s="4" t="s">
        <v>210</v>
      </c>
      <c r="B102" s="8">
        <v>1473.95</v>
      </c>
    </row>
    <row r="103" spans="1:2" x14ac:dyDescent="0.3">
      <c r="A103" s="4" t="s">
        <v>211</v>
      </c>
      <c r="B103" s="8">
        <v>400</v>
      </c>
    </row>
    <row r="104" spans="1:2" x14ac:dyDescent="0.3">
      <c r="A104" s="4" t="s">
        <v>283</v>
      </c>
      <c r="B104" s="8">
        <v>60</v>
      </c>
    </row>
    <row r="105" spans="1:2" x14ac:dyDescent="0.3">
      <c r="A105" s="4" t="s">
        <v>284</v>
      </c>
      <c r="B105" s="8">
        <v>571.07000000000005</v>
      </c>
    </row>
    <row r="106" spans="1:2" x14ac:dyDescent="0.3">
      <c r="A106" s="4" t="s">
        <v>285</v>
      </c>
      <c r="B106" s="8">
        <v>835.98</v>
      </c>
    </row>
    <row r="107" spans="1:2" x14ac:dyDescent="0.3">
      <c r="A107" s="4" t="s">
        <v>212</v>
      </c>
      <c r="B107" s="8">
        <v>7944.7</v>
      </c>
    </row>
    <row r="108" spans="1:2" x14ac:dyDescent="0.3">
      <c r="A108" s="27" t="s">
        <v>213</v>
      </c>
      <c r="B108" s="11">
        <v>617554.70999999973</v>
      </c>
    </row>
    <row r="112" spans="1:2" x14ac:dyDescent="0.3">
      <c r="A112" s="57" t="s">
        <v>217</v>
      </c>
      <c r="B112" s="54"/>
    </row>
  </sheetData>
  <mergeCells count="4">
    <mergeCell ref="A1:B1"/>
    <mergeCell ref="A2:B2"/>
    <mergeCell ref="A3:B3"/>
    <mergeCell ref="A112:B1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18F6-7638-4D54-992F-D0F64BA5A315}">
  <dimension ref="A1:D15"/>
  <sheetViews>
    <sheetView workbookViewId="0"/>
  </sheetViews>
  <sheetFormatPr defaultRowHeight="14.4" x14ac:dyDescent="0.3"/>
  <cols>
    <col min="1" max="1" width="13.6640625" customWidth="1"/>
    <col min="2" max="2" width="37.77734375" customWidth="1"/>
  </cols>
  <sheetData>
    <row r="1" spans="1:4" x14ac:dyDescent="0.3">
      <c r="A1" t="s">
        <v>286</v>
      </c>
      <c r="B1" t="s">
        <v>287</v>
      </c>
      <c r="C1" t="s">
        <v>288</v>
      </c>
    </row>
    <row r="2" spans="1:4" x14ac:dyDescent="0.3">
      <c r="A2" s="28">
        <v>45932</v>
      </c>
      <c r="B2" t="s">
        <v>289</v>
      </c>
      <c r="C2">
        <v>-2.06</v>
      </c>
      <c r="D2" t="s">
        <v>290</v>
      </c>
    </row>
    <row r="3" spans="1:4" x14ac:dyDescent="0.3">
      <c r="A3" s="28">
        <v>45939</v>
      </c>
      <c r="B3" t="s">
        <v>291</v>
      </c>
      <c r="C3">
        <v>-11</v>
      </c>
      <c r="D3" t="s">
        <v>292</v>
      </c>
    </row>
    <row r="4" spans="1:4" x14ac:dyDescent="0.3">
      <c r="A4" s="28">
        <v>45940</v>
      </c>
      <c r="B4" t="s">
        <v>293</v>
      </c>
      <c r="C4">
        <v>-45.03</v>
      </c>
      <c r="D4" t="s">
        <v>290</v>
      </c>
    </row>
    <row r="5" spans="1:4" x14ac:dyDescent="0.3">
      <c r="A5" s="28">
        <v>45940</v>
      </c>
      <c r="B5" t="s">
        <v>294</v>
      </c>
      <c r="C5">
        <v>-24.94</v>
      </c>
      <c r="D5" t="s">
        <v>290</v>
      </c>
    </row>
    <row r="6" spans="1:4" x14ac:dyDescent="0.3">
      <c r="A6" s="28">
        <v>45944</v>
      </c>
      <c r="B6" t="s">
        <v>295</v>
      </c>
      <c r="C6">
        <v>-9.6</v>
      </c>
      <c r="D6" t="s">
        <v>290</v>
      </c>
    </row>
    <row r="7" spans="1:4" x14ac:dyDescent="0.3">
      <c r="A7" s="28">
        <v>45944</v>
      </c>
      <c r="B7" t="s">
        <v>296</v>
      </c>
      <c r="C7">
        <v>-20.59</v>
      </c>
      <c r="D7" t="s">
        <v>297</v>
      </c>
    </row>
    <row r="8" spans="1:4" x14ac:dyDescent="0.3">
      <c r="A8" s="28">
        <v>45945</v>
      </c>
      <c r="B8" t="s">
        <v>298</v>
      </c>
      <c r="C8">
        <v>-227.12</v>
      </c>
      <c r="D8" t="s">
        <v>290</v>
      </c>
    </row>
    <row r="9" spans="1:4" x14ac:dyDescent="0.3">
      <c r="A9" s="28">
        <v>45945</v>
      </c>
      <c r="B9" t="s">
        <v>299</v>
      </c>
      <c r="C9">
        <v>-89</v>
      </c>
      <c r="D9" t="s">
        <v>300</v>
      </c>
    </row>
    <row r="10" spans="1:4" x14ac:dyDescent="0.3">
      <c r="A10" s="28">
        <v>45946</v>
      </c>
      <c r="B10" t="s">
        <v>301</v>
      </c>
      <c r="C10">
        <v>-411.59</v>
      </c>
      <c r="D10" t="s">
        <v>302</v>
      </c>
    </row>
    <row r="11" spans="1:4" x14ac:dyDescent="0.3">
      <c r="A11" s="28">
        <v>45947</v>
      </c>
      <c r="B11" t="s">
        <v>303</v>
      </c>
      <c r="C11">
        <v>-35.369999999999997</v>
      </c>
      <c r="D11" t="s">
        <v>290</v>
      </c>
    </row>
    <row r="12" spans="1:4" x14ac:dyDescent="0.3">
      <c r="A12" s="28">
        <v>45950</v>
      </c>
      <c r="B12" t="s">
        <v>304</v>
      </c>
      <c r="C12">
        <v>1096.79</v>
      </c>
    </row>
    <row r="13" spans="1:4" x14ac:dyDescent="0.3">
      <c r="A13" s="28">
        <v>45953</v>
      </c>
      <c r="B13" t="s">
        <v>305</v>
      </c>
      <c r="C13">
        <v>-163.81</v>
      </c>
      <c r="D13" t="s">
        <v>306</v>
      </c>
    </row>
    <row r="14" spans="1:4" x14ac:dyDescent="0.3">
      <c r="A14" s="28">
        <v>45959</v>
      </c>
      <c r="B14" t="s">
        <v>307</v>
      </c>
      <c r="C14">
        <v>-27.44</v>
      </c>
      <c r="D14" t="s">
        <v>290</v>
      </c>
    </row>
    <row r="15" spans="1:4" x14ac:dyDescent="0.3">
      <c r="A15" s="28">
        <v>45959</v>
      </c>
      <c r="B15" t="s">
        <v>308</v>
      </c>
      <c r="C15">
        <v>-174</v>
      </c>
      <c r="D15" t="s">
        <v>297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Mill Levy 2026 calc</vt:lpstr>
      <vt:lpstr>2026 Revenue budgeted</vt:lpstr>
      <vt:lpstr>2026 Expenses budgeted</vt:lpstr>
      <vt:lpstr>2026 Total Asset Balance budge</vt:lpstr>
      <vt:lpstr>Balance Sheet Oct 2025</vt:lpstr>
      <vt:lpstr>Budget vs. Actuals Oct 25</vt:lpstr>
      <vt:lpstr>Expenses by Vendor Oct 25</vt:lpstr>
      <vt:lpstr>Credit Card October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cp:lastPrinted>2025-12-01T20:52:39Z</cp:lastPrinted>
  <dcterms:created xsi:type="dcterms:W3CDTF">2025-11-25T17:51:50Z</dcterms:created>
  <dcterms:modified xsi:type="dcterms:W3CDTF">2025-12-01T20:53:32Z</dcterms:modified>
</cp:coreProperties>
</file>