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Records\Board Meeting Packets\"/>
    </mc:Choice>
  </mc:AlternateContent>
  <xr:revisionPtr revIDLastSave="0" documentId="13_ncr:1_{D316DC94-63C8-43C7-93E8-37987BF919FE}" xr6:coauthVersionLast="47" xr6:coauthVersionMax="47" xr10:uidLastSave="{00000000-0000-0000-0000-000000000000}"/>
  <bookViews>
    <workbookView xWindow="-108" yWindow="-108" windowWidth="23256" windowHeight="12456" xr2:uid="{19E97C03-2349-491D-AA5D-215A897C2233}"/>
  </bookViews>
  <sheets>
    <sheet name="April Statistics" sheetId="8" r:id="rId1"/>
    <sheet name="Balance Sheet, March" sheetId="3" r:id="rId2"/>
    <sheet name="Profit and Loss, March" sheetId="4" r:id="rId3"/>
    <sheet name="Expenses by Vendor, March" sheetId="5" r:id="rId4"/>
    <sheet name="Credit Card March 2026" sheetId="6" r:id="rId5"/>
    <sheet name="Balance Sheet, QB Version,March" sheetId="2" r:id="rId6"/>
    <sheet name="Sheet1" sheetId="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5" i="8" l="1"/>
  <c r="H35" i="8" s="1"/>
  <c r="F35" i="8"/>
  <c r="D35" i="8"/>
  <c r="G33" i="8"/>
  <c r="H33" i="8" s="1"/>
  <c r="F33" i="8"/>
  <c r="D33" i="8"/>
  <c r="G32" i="8"/>
  <c r="H32" i="8" s="1"/>
  <c r="F32" i="8"/>
  <c r="D32" i="8"/>
  <c r="G31" i="8"/>
  <c r="H31" i="8" s="1"/>
  <c r="F31" i="8"/>
  <c r="D31" i="8"/>
  <c r="G28" i="8"/>
  <c r="H28" i="8" s="1"/>
  <c r="F28" i="8"/>
  <c r="D28" i="8"/>
  <c r="G27" i="8"/>
  <c r="H27" i="8" s="1"/>
  <c r="F27" i="8"/>
  <c r="D27" i="8"/>
  <c r="G26" i="8"/>
  <c r="H26" i="8" s="1"/>
  <c r="F26" i="8"/>
  <c r="D26" i="8"/>
  <c r="F23" i="8"/>
  <c r="H23" i="8" s="1"/>
  <c r="D23" i="8"/>
  <c r="F22" i="8"/>
  <c r="H22" i="8" s="1"/>
  <c r="D22" i="8"/>
  <c r="G21" i="8"/>
  <c r="H21" i="8" s="1"/>
  <c r="F21" i="8"/>
  <c r="D21" i="8"/>
  <c r="G20" i="8"/>
  <c r="H20" i="8" s="1"/>
  <c r="F20" i="8"/>
  <c r="D20" i="8"/>
  <c r="G17" i="8"/>
  <c r="H17" i="8" s="1"/>
  <c r="F17" i="8"/>
  <c r="D17" i="8"/>
  <c r="G16" i="8"/>
  <c r="H16" i="8" s="1"/>
  <c r="F16" i="8"/>
  <c r="D16" i="8"/>
  <c r="G13" i="8"/>
  <c r="H13" i="8" s="1"/>
  <c r="F13" i="8"/>
  <c r="D13" i="8"/>
  <c r="G12" i="8"/>
  <c r="H12" i="8" s="1"/>
  <c r="F12" i="8"/>
  <c r="D12" i="8"/>
  <c r="G10" i="8"/>
  <c r="H10" i="8" s="1"/>
  <c r="F10" i="8"/>
  <c r="D10" i="8"/>
  <c r="G9" i="8"/>
  <c r="H9" i="8" s="1"/>
  <c r="F9" i="8"/>
  <c r="D9" i="8"/>
  <c r="G8" i="8"/>
  <c r="H8" i="8" s="1"/>
  <c r="F8" i="8"/>
  <c r="D8" i="8"/>
  <c r="G7" i="8"/>
  <c r="H7" i="8" s="1"/>
  <c r="F7" i="8"/>
  <c r="D7" i="8"/>
  <c r="G6" i="8"/>
  <c r="H6" i="8" s="1"/>
  <c r="F6" i="8"/>
  <c r="D6" i="8"/>
  <c r="G5" i="8"/>
  <c r="H5" i="8" s="1"/>
  <c r="D5" i="8"/>
  <c r="G4" i="8"/>
  <c r="F4" i="8"/>
  <c r="H4" i="8" s="1"/>
  <c r="D4" i="8"/>
  <c r="AQ104" i="4" l="1"/>
  <c r="AS104" i="4" s="1"/>
  <c r="AP104" i="4"/>
  <c r="AR104" i="4" s="1"/>
  <c r="AO104" i="4"/>
  <c r="AN104" i="4"/>
  <c r="AI104" i="4"/>
  <c r="AK104" i="4" s="1"/>
  <c r="AH104" i="4"/>
  <c r="AJ104" i="4" s="1"/>
  <c r="AG104" i="4"/>
  <c r="AF104" i="4"/>
  <c r="AE104" i="4"/>
  <c r="AD104" i="4"/>
  <c r="AA104" i="4"/>
  <c r="AC104" i="4" s="1"/>
  <c r="Z104" i="4"/>
  <c r="O104" i="4"/>
  <c r="Q104" i="4" s="1"/>
  <c r="N104" i="4"/>
  <c r="P104" i="4" s="1"/>
  <c r="M104" i="4"/>
  <c r="K104" i="4"/>
  <c r="G104" i="4"/>
  <c r="I104" i="4" s="1"/>
  <c r="F104" i="4"/>
  <c r="AW103" i="4"/>
  <c r="AV103" i="4"/>
  <c r="AU103" i="4"/>
  <c r="AU104" i="4" s="1"/>
  <c r="AW104" i="4" s="1"/>
  <c r="AT103" i="4"/>
  <c r="AT104" i="4" s="1"/>
  <c r="AS103" i="4"/>
  <c r="AR103" i="4"/>
  <c r="AQ103" i="4"/>
  <c r="AP103" i="4"/>
  <c r="AM103" i="4"/>
  <c r="AM104" i="4" s="1"/>
  <c r="AL103" i="4"/>
  <c r="AL104" i="4" s="1"/>
  <c r="AI103" i="4"/>
  <c r="AK103" i="4" s="1"/>
  <c r="AH103" i="4"/>
  <c r="AG103" i="4"/>
  <c r="AF103" i="4"/>
  <c r="AE103" i="4"/>
  <c r="AD103" i="4"/>
  <c r="AC103" i="4"/>
  <c r="AB103" i="4"/>
  <c r="AA103" i="4"/>
  <c r="Z103" i="4"/>
  <c r="W103" i="4"/>
  <c r="V103" i="4"/>
  <c r="U103" i="4"/>
  <c r="T103" i="4"/>
  <c r="S103" i="4"/>
  <c r="S104" i="4" s="1"/>
  <c r="U104" i="4" s="1"/>
  <c r="R103" i="4"/>
  <c r="R104" i="4" s="1"/>
  <c r="T104" i="4" s="1"/>
  <c r="O103" i="4"/>
  <c r="Q103" i="4" s="1"/>
  <c r="N103" i="4"/>
  <c r="P103" i="4" s="1"/>
  <c r="M103" i="4"/>
  <c r="K103" i="4"/>
  <c r="I103" i="4"/>
  <c r="G103" i="4"/>
  <c r="F103" i="4"/>
  <c r="H103" i="4" s="1"/>
  <c r="C103" i="4"/>
  <c r="B103" i="4"/>
  <c r="AY102" i="4"/>
  <c r="BA102" i="4" s="1"/>
  <c r="AX102" i="4"/>
  <c r="AZ102" i="4" s="1"/>
  <c r="AW102" i="4"/>
  <c r="AV102" i="4"/>
  <c r="AS102" i="4"/>
  <c r="AR102" i="4"/>
  <c r="AO102" i="4"/>
  <c r="AN102" i="4"/>
  <c r="AK102" i="4"/>
  <c r="AJ102" i="4"/>
  <c r="AG102" i="4"/>
  <c r="AF102" i="4"/>
  <c r="AC102" i="4"/>
  <c r="AB102" i="4"/>
  <c r="Y102" i="4"/>
  <c r="X102" i="4"/>
  <c r="U102" i="4"/>
  <c r="T102" i="4"/>
  <c r="Q102" i="4"/>
  <c r="P102" i="4"/>
  <c r="M102" i="4"/>
  <c r="L102" i="4"/>
  <c r="J102" i="4"/>
  <c r="J103" i="4" s="1"/>
  <c r="I102" i="4"/>
  <c r="H102" i="4"/>
  <c r="E102" i="4"/>
  <c r="D102" i="4"/>
  <c r="AU98" i="4"/>
  <c r="AT98" i="4"/>
  <c r="AV98" i="4" s="1"/>
  <c r="AP98" i="4"/>
  <c r="AL98" i="4"/>
  <c r="AH98" i="4"/>
  <c r="AD98" i="4"/>
  <c r="Z98" i="4"/>
  <c r="V98" i="4"/>
  <c r="S98" i="4"/>
  <c r="R98" i="4"/>
  <c r="T98" i="4" s="1"/>
  <c r="N98" i="4"/>
  <c r="G98" i="4"/>
  <c r="AW97" i="4"/>
  <c r="AV97" i="4"/>
  <c r="AU97" i="4"/>
  <c r="AQ97" i="4"/>
  <c r="AS97" i="4" s="1"/>
  <c r="AO97" i="4"/>
  <c r="AN97" i="4"/>
  <c r="AM97" i="4"/>
  <c r="AI97" i="4"/>
  <c r="AK97" i="4" s="1"/>
  <c r="AG97" i="4"/>
  <c r="AF97" i="4"/>
  <c r="AE97" i="4"/>
  <c r="AA97" i="4"/>
  <c r="W97" i="4"/>
  <c r="S97" i="4"/>
  <c r="O97" i="4"/>
  <c r="K97" i="4"/>
  <c r="J97" i="4"/>
  <c r="I97" i="4"/>
  <c r="H97" i="4"/>
  <c r="G97" i="4"/>
  <c r="F97" i="4"/>
  <c r="C97" i="4"/>
  <c r="B97" i="4"/>
  <c r="AV96" i="4"/>
  <c r="AU96" i="4"/>
  <c r="AW96" i="4" s="1"/>
  <c r="AS96" i="4"/>
  <c r="AR96" i="4"/>
  <c r="AQ96" i="4"/>
  <c r="AM96" i="4"/>
  <c r="AO96" i="4" s="1"/>
  <c r="AK96" i="4"/>
  <c r="AJ96" i="4"/>
  <c r="AI96" i="4"/>
  <c r="AE96" i="4"/>
  <c r="AA96" i="4"/>
  <c r="AC96" i="4" s="1"/>
  <c r="W96" i="4"/>
  <c r="U96" i="4"/>
  <c r="T96" i="4"/>
  <c r="S96" i="4"/>
  <c r="O96" i="4"/>
  <c r="Q96" i="4" s="1"/>
  <c r="M96" i="4"/>
  <c r="L96" i="4"/>
  <c r="K96" i="4"/>
  <c r="J96" i="4"/>
  <c r="G96" i="4"/>
  <c r="F96" i="4"/>
  <c r="H96" i="4" s="1"/>
  <c r="E96" i="4"/>
  <c r="D96" i="4"/>
  <c r="C96" i="4"/>
  <c r="B96" i="4"/>
  <c r="AW95" i="4"/>
  <c r="AV95" i="4"/>
  <c r="AU95" i="4"/>
  <c r="AQ95" i="4"/>
  <c r="AR95" i="4" s="1"/>
  <c r="AO95" i="4"/>
  <c r="AN95" i="4"/>
  <c r="AM95" i="4"/>
  <c r="AI95" i="4"/>
  <c r="AE95" i="4"/>
  <c r="AG95" i="4" s="1"/>
  <c r="AA95" i="4"/>
  <c r="Y95" i="4"/>
  <c r="X95" i="4"/>
  <c r="W95" i="4"/>
  <c r="S95" i="4"/>
  <c r="Q95" i="4"/>
  <c r="P95" i="4"/>
  <c r="O95" i="4"/>
  <c r="M95" i="4"/>
  <c r="L95" i="4"/>
  <c r="K95" i="4"/>
  <c r="J95" i="4"/>
  <c r="G95" i="4"/>
  <c r="F95" i="4"/>
  <c r="I95" i="4" s="1"/>
  <c r="C95" i="4"/>
  <c r="AW94" i="4"/>
  <c r="AU94" i="4"/>
  <c r="AV94" i="4" s="1"/>
  <c r="AQ94" i="4"/>
  <c r="AO94" i="4"/>
  <c r="AN94" i="4"/>
  <c r="AM94" i="4"/>
  <c r="AK94" i="4"/>
  <c r="AJ94" i="4"/>
  <c r="AI94" i="4"/>
  <c r="AG94" i="4"/>
  <c r="AF94" i="4"/>
  <c r="AE94" i="4"/>
  <c r="AC94" i="4"/>
  <c r="AA94" i="4"/>
  <c r="W94" i="4"/>
  <c r="S94" i="4"/>
  <c r="Q94" i="4"/>
  <c r="P94" i="4"/>
  <c r="O94" i="4"/>
  <c r="K94" i="4"/>
  <c r="J94" i="4"/>
  <c r="L94" i="4" s="1"/>
  <c r="I94" i="4"/>
  <c r="H94" i="4"/>
  <c r="G94" i="4"/>
  <c r="F94" i="4"/>
  <c r="C94" i="4"/>
  <c r="B94" i="4"/>
  <c r="BA93" i="4"/>
  <c r="AZ93" i="4"/>
  <c r="AY93" i="4"/>
  <c r="AX93" i="4"/>
  <c r="AW93" i="4"/>
  <c r="AV93" i="4"/>
  <c r="AS93" i="4"/>
  <c r="AR93" i="4"/>
  <c r="AO93" i="4"/>
  <c r="AN93" i="4"/>
  <c r="AK93" i="4"/>
  <c r="AJ93" i="4"/>
  <c r="AG93" i="4"/>
  <c r="AF93" i="4"/>
  <c r="AC93" i="4"/>
  <c r="AB93" i="4"/>
  <c r="Y93" i="4"/>
  <c r="X93" i="4"/>
  <c r="U93" i="4"/>
  <c r="T93" i="4"/>
  <c r="Q93" i="4"/>
  <c r="P93" i="4"/>
  <c r="M93" i="4"/>
  <c r="L93" i="4"/>
  <c r="I93" i="4"/>
  <c r="H93" i="4"/>
  <c r="E93" i="4"/>
  <c r="D93" i="4"/>
  <c r="AT92" i="4"/>
  <c r="AP92" i="4"/>
  <c r="AM92" i="4"/>
  <c r="AO92" i="4" s="1"/>
  <c r="AL92" i="4"/>
  <c r="AN92" i="4" s="1"/>
  <c r="AH92" i="4"/>
  <c r="AD92" i="4"/>
  <c r="Z92" i="4"/>
  <c r="V92" i="4"/>
  <c r="R92" i="4"/>
  <c r="N92" i="4"/>
  <c r="J92" i="4"/>
  <c r="AY91" i="4"/>
  <c r="BA91" i="4" s="1"/>
  <c r="AW91" i="4"/>
  <c r="AU91" i="4"/>
  <c r="AV91" i="4" s="1"/>
  <c r="AS91" i="4"/>
  <c r="AR91" i="4"/>
  <c r="AQ91" i="4"/>
  <c r="AM91" i="4"/>
  <c r="AK91" i="4"/>
  <c r="AJ91" i="4"/>
  <c r="AI91" i="4"/>
  <c r="AE91" i="4"/>
  <c r="AA91" i="4"/>
  <c r="X91" i="4"/>
  <c r="W91" i="4"/>
  <c r="W92" i="4" s="1"/>
  <c r="Y92" i="4" s="1"/>
  <c r="S91" i="4"/>
  <c r="O91" i="4"/>
  <c r="K91" i="4"/>
  <c r="M91" i="4" s="1"/>
  <c r="J91" i="4"/>
  <c r="H91" i="4"/>
  <c r="G91" i="4"/>
  <c r="I91" i="4" s="1"/>
  <c r="F91" i="4"/>
  <c r="AX91" i="4" s="1"/>
  <c r="C91" i="4"/>
  <c r="B91" i="4"/>
  <c r="AX90" i="4"/>
  <c r="AW90" i="4"/>
  <c r="AV90" i="4"/>
  <c r="AU90" i="4"/>
  <c r="AS90" i="4"/>
  <c r="AR90" i="4"/>
  <c r="AQ90" i="4"/>
  <c r="AO90" i="4"/>
  <c r="AN90" i="4"/>
  <c r="AM90" i="4"/>
  <c r="AK90" i="4"/>
  <c r="AJ90" i="4"/>
  <c r="AI90" i="4"/>
  <c r="AE90" i="4"/>
  <c r="AG90" i="4" s="1"/>
  <c r="AA90" i="4"/>
  <c r="Y90" i="4"/>
  <c r="X90" i="4"/>
  <c r="W90" i="4"/>
  <c r="S90" i="4"/>
  <c r="P90" i="4"/>
  <c r="O90" i="4"/>
  <c r="K90" i="4"/>
  <c r="I90" i="4"/>
  <c r="H90" i="4"/>
  <c r="G90" i="4"/>
  <c r="F90" i="4"/>
  <c r="C90" i="4"/>
  <c r="AY90" i="4" s="1"/>
  <c r="BA90" i="4" s="1"/>
  <c r="AU89" i="4"/>
  <c r="AQ89" i="4"/>
  <c r="AQ92" i="4" s="1"/>
  <c r="AM89" i="4"/>
  <c r="AI89" i="4"/>
  <c r="AE89" i="4"/>
  <c r="AA89" i="4"/>
  <c r="AC89" i="4" s="1"/>
  <c r="Y89" i="4"/>
  <c r="X89" i="4"/>
  <c r="W89" i="4"/>
  <c r="T89" i="4"/>
  <c r="S89" i="4"/>
  <c r="U89" i="4" s="1"/>
  <c r="Q89" i="4"/>
  <c r="P89" i="4"/>
  <c r="O89" i="4"/>
  <c r="K89" i="4"/>
  <c r="M89" i="4" s="1"/>
  <c r="G89" i="4"/>
  <c r="C89" i="4"/>
  <c r="C92" i="4" s="1"/>
  <c r="B89" i="4"/>
  <c r="AZ88" i="4"/>
  <c r="AY88" i="4"/>
  <c r="BA88" i="4" s="1"/>
  <c r="AV88" i="4"/>
  <c r="AU88" i="4"/>
  <c r="AW88" i="4" s="1"/>
  <c r="AS88" i="4"/>
  <c r="AR88" i="4"/>
  <c r="AQ88" i="4"/>
  <c r="AM88" i="4"/>
  <c r="AK88" i="4"/>
  <c r="AJ88" i="4"/>
  <c r="AI88" i="4"/>
  <c r="AE88" i="4"/>
  <c r="AA88" i="4"/>
  <c r="AC88" i="4" s="1"/>
  <c r="Y88" i="4"/>
  <c r="X88" i="4"/>
  <c r="W88" i="4"/>
  <c r="S88" i="4"/>
  <c r="Q88" i="4"/>
  <c r="P88" i="4"/>
  <c r="O88" i="4"/>
  <c r="K88" i="4"/>
  <c r="M88" i="4" s="1"/>
  <c r="I88" i="4"/>
  <c r="H88" i="4"/>
  <c r="G88" i="4"/>
  <c r="F88" i="4"/>
  <c r="AX88" i="4" s="1"/>
  <c r="C88" i="4"/>
  <c r="AU87" i="4"/>
  <c r="AV87" i="4" s="1"/>
  <c r="AS87" i="4"/>
  <c r="AR87" i="4"/>
  <c r="AQ87" i="4"/>
  <c r="AO87" i="4"/>
  <c r="AM87" i="4"/>
  <c r="AN87" i="4" s="1"/>
  <c r="AK87" i="4"/>
  <c r="AI87" i="4"/>
  <c r="AJ87" i="4" s="1"/>
  <c r="AG87" i="4"/>
  <c r="AE87" i="4"/>
  <c r="AF87" i="4" s="1"/>
  <c r="AC87" i="4"/>
  <c r="AB87" i="4"/>
  <c r="AA87" i="4"/>
  <c r="W87" i="4"/>
  <c r="U87" i="4"/>
  <c r="T87" i="4"/>
  <c r="S87" i="4"/>
  <c r="O87" i="4"/>
  <c r="K87" i="4"/>
  <c r="J87" i="4"/>
  <c r="L87" i="4" s="1"/>
  <c r="G87" i="4"/>
  <c r="F87" i="4"/>
  <c r="E87" i="4"/>
  <c r="D87" i="4"/>
  <c r="C87" i="4"/>
  <c r="AY86" i="4"/>
  <c r="BA86" i="4" s="1"/>
  <c r="AX86" i="4"/>
  <c r="AZ86" i="4" s="1"/>
  <c r="AW86" i="4"/>
  <c r="AV86" i="4"/>
  <c r="AS86" i="4"/>
  <c r="AR86" i="4"/>
  <c r="AO86" i="4"/>
  <c r="AN86" i="4"/>
  <c r="AK86" i="4"/>
  <c r="AJ86" i="4"/>
  <c r="AG86" i="4"/>
  <c r="AF86" i="4"/>
  <c r="AC86" i="4"/>
  <c r="AB86" i="4"/>
  <c r="Y86" i="4"/>
  <c r="X86" i="4"/>
  <c r="U86" i="4"/>
  <c r="T86" i="4"/>
  <c r="Q86" i="4"/>
  <c r="P86" i="4"/>
  <c r="M86" i="4"/>
  <c r="L86" i="4"/>
  <c r="I86" i="4"/>
  <c r="H86" i="4"/>
  <c r="E86" i="4"/>
  <c r="D86" i="4"/>
  <c r="AY85" i="4"/>
  <c r="BA85" i="4" s="1"/>
  <c r="AX85" i="4"/>
  <c r="AZ85" i="4" s="1"/>
  <c r="AW85" i="4"/>
  <c r="AU85" i="4"/>
  <c r="AV85" i="4" s="1"/>
  <c r="AQ85" i="4"/>
  <c r="AO85" i="4"/>
  <c r="AN85" i="4"/>
  <c r="AM85" i="4"/>
  <c r="AI85" i="4"/>
  <c r="AK85" i="4" s="1"/>
  <c r="AG85" i="4"/>
  <c r="AF85" i="4"/>
  <c r="AE85" i="4"/>
  <c r="AA85" i="4"/>
  <c r="AC85" i="4" s="1"/>
  <c r="Y85" i="4"/>
  <c r="X85" i="4"/>
  <c r="W85" i="4"/>
  <c r="T85" i="4"/>
  <c r="S85" i="4"/>
  <c r="U85" i="4" s="1"/>
  <c r="Q85" i="4"/>
  <c r="O85" i="4"/>
  <c r="P85" i="4" s="1"/>
  <c r="M85" i="4"/>
  <c r="K85" i="4"/>
  <c r="J85" i="4"/>
  <c r="L85" i="4" s="1"/>
  <c r="I85" i="4"/>
  <c r="G85" i="4"/>
  <c r="H85" i="4" s="1"/>
  <c r="F85" i="4"/>
  <c r="C85" i="4"/>
  <c r="E85" i="4" s="1"/>
  <c r="B85" i="4"/>
  <c r="AT84" i="4"/>
  <c r="AP84" i="4"/>
  <c r="AM84" i="4"/>
  <c r="AN84" i="4" s="1"/>
  <c r="AL84" i="4"/>
  <c r="AH84" i="4"/>
  <c r="AD84" i="4"/>
  <c r="Z84" i="4"/>
  <c r="V84" i="4"/>
  <c r="R84" i="4"/>
  <c r="N84" i="4"/>
  <c r="B84" i="4"/>
  <c r="AX83" i="4"/>
  <c r="AU83" i="4"/>
  <c r="AW83" i="4" s="1"/>
  <c r="AQ83" i="4"/>
  <c r="AS83" i="4" s="1"/>
  <c r="AO83" i="4"/>
  <c r="AM83" i="4"/>
  <c r="AN83" i="4" s="1"/>
  <c r="AJ83" i="4"/>
  <c r="AI83" i="4"/>
  <c r="AK83" i="4" s="1"/>
  <c r="AG83" i="4"/>
  <c r="AF83" i="4"/>
  <c r="AE83" i="4"/>
  <c r="AC83" i="4"/>
  <c r="AA83" i="4"/>
  <c r="AB83" i="4" s="1"/>
  <c r="Y83" i="4"/>
  <c r="X83" i="4"/>
  <c r="W83" i="4"/>
  <c r="S83" i="4"/>
  <c r="O83" i="4"/>
  <c r="Q83" i="4" s="1"/>
  <c r="K83" i="4"/>
  <c r="I83" i="4"/>
  <c r="H83" i="4"/>
  <c r="G83" i="4"/>
  <c r="C83" i="4"/>
  <c r="AY82" i="4"/>
  <c r="AV82" i="4"/>
  <c r="AU82" i="4"/>
  <c r="AW82" i="4" s="1"/>
  <c r="AS82" i="4"/>
  <c r="AR82" i="4"/>
  <c r="AQ82" i="4"/>
  <c r="AN82" i="4"/>
  <c r="AM82" i="4"/>
  <c r="AO82" i="4" s="1"/>
  <c r="AK82" i="4"/>
  <c r="AJ82" i="4"/>
  <c r="AI82" i="4"/>
  <c r="AG82" i="4"/>
  <c r="AF82" i="4"/>
  <c r="AE82" i="4"/>
  <c r="AC82" i="4"/>
  <c r="AB82" i="4"/>
  <c r="AA82" i="4"/>
  <c r="Y82" i="4"/>
  <c r="X82" i="4"/>
  <c r="W82" i="4"/>
  <c r="U82" i="4"/>
  <c r="T82" i="4"/>
  <c r="S82" i="4"/>
  <c r="Q82" i="4"/>
  <c r="O82" i="4"/>
  <c r="P82" i="4" s="1"/>
  <c r="M82" i="4"/>
  <c r="L82" i="4"/>
  <c r="K82" i="4"/>
  <c r="J82" i="4"/>
  <c r="J84" i="4" s="1"/>
  <c r="I82" i="4"/>
  <c r="H82" i="4"/>
  <c r="G82" i="4"/>
  <c r="F82" i="4"/>
  <c r="E82" i="4"/>
  <c r="D82" i="4"/>
  <c r="C82" i="4"/>
  <c r="B82" i="4"/>
  <c r="AU81" i="4"/>
  <c r="AV81" i="4" s="1"/>
  <c r="AS81" i="4"/>
  <c r="AQ81" i="4"/>
  <c r="AR81" i="4" s="1"/>
  <c r="AM81" i="4"/>
  <c r="AO81" i="4" s="1"/>
  <c r="AK81" i="4"/>
  <c r="AJ81" i="4"/>
  <c r="AI81" i="4"/>
  <c r="AE81" i="4"/>
  <c r="AG81" i="4" s="1"/>
  <c r="AC81" i="4"/>
  <c r="AB81" i="4"/>
  <c r="AA81" i="4"/>
  <c r="W81" i="4"/>
  <c r="Y81" i="4" s="1"/>
  <c r="S81" i="4"/>
  <c r="O81" i="4"/>
  <c r="K81" i="4"/>
  <c r="K84" i="4" s="1"/>
  <c r="M84" i="4" s="1"/>
  <c r="J81" i="4"/>
  <c r="G81" i="4"/>
  <c r="F81" i="4"/>
  <c r="C81" i="4"/>
  <c r="B81" i="4"/>
  <c r="AU80" i="4"/>
  <c r="AV80" i="4" s="1"/>
  <c r="AQ80" i="4"/>
  <c r="AO80" i="4"/>
  <c r="AN80" i="4"/>
  <c r="AM80" i="4"/>
  <c r="AI80" i="4"/>
  <c r="AG80" i="4"/>
  <c r="AF80" i="4"/>
  <c r="AE80" i="4"/>
  <c r="AC80" i="4"/>
  <c r="AB80" i="4"/>
  <c r="AA80" i="4"/>
  <c r="AA84" i="4" s="1"/>
  <c r="AC84" i="4" s="1"/>
  <c r="X80" i="4"/>
  <c r="W80" i="4"/>
  <c r="U80" i="4"/>
  <c r="T80" i="4"/>
  <c r="S80" i="4"/>
  <c r="O80" i="4"/>
  <c r="K80" i="4"/>
  <c r="J80" i="4"/>
  <c r="L80" i="4" s="1"/>
  <c r="I80" i="4"/>
  <c r="H80" i="4"/>
  <c r="G80" i="4"/>
  <c r="F80" i="4"/>
  <c r="C80" i="4"/>
  <c r="B80" i="4"/>
  <c r="BA79" i="4"/>
  <c r="AY79" i="4"/>
  <c r="AX79" i="4"/>
  <c r="AZ79" i="4" s="1"/>
  <c r="AW79" i="4"/>
  <c r="AV79" i="4"/>
  <c r="AS79" i="4"/>
  <c r="AR79" i="4"/>
  <c r="AO79" i="4"/>
  <c r="AN79" i="4"/>
  <c r="AK79" i="4"/>
  <c r="AJ79" i="4"/>
  <c r="AG79" i="4"/>
  <c r="AF79" i="4"/>
  <c r="AC79" i="4"/>
  <c r="AB79" i="4"/>
  <c r="Y79" i="4"/>
  <c r="X79" i="4"/>
  <c r="U79" i="4"/>
  <c r="T79" i="4"/>
  <c r="Q79" i="4"/>
  <c r="P79" i="4"/>
  <c r="M79" i="4"/>
  <c r="L79" i="4"/>
  <c r="I79" i="4"/>
  <c r="H79" i="4"/>
  <c r="E79" i="4"/>
  <c r="D79" i="4"/>
  <c r="AY78" i="4"/>
  <c r="BA78" i="4" s="1"/>
  <c r="AX78" i="4"/>
  <c r="AZ78" i="4" s="1"/>
  <c r="AW78" i="4"/>
  <c r="AV78" i="4"/>
  <c r="AS78" i="4"/>
  <c r="AR78" i="4"/>
  <c r="AO78" i="4"/>
  <c r="AN78" i="4"/>
  <c r="AK78" i="4"/>
  <c r="AJ78" i="4"/>
  <c r="AG78" i="4"/>
  <c r="AF78" i="4"/>
  <c r="AC78" i="4"/>
  <c r="AB78" i="4"/>
  <c r="Y78" i="4"/>
  <c r="X78" i="4"/>
  <c r="U78" i="4"/>
  <c r="T78" i="4"/>
  <c r="Q78" i="4"/>
  <c r="P78" i="4"/>
  <c r="M78" i="4"/>
  <c r="L78" i="4"/>
  <c r="I78" i="4"/>
  <c r="H78" i="4"/>
  <c r="E78" i="4"/>
  <c r="B78" i="4"/>
  <c r="D78" i="4" s="1"/>
  <c r="AT77" i="4"/>
  <c r="AQ77" i="4"/>
  <c r="AS77" i="4" s="1"/>
  <c r="AP77" i="4"/>
  <c r="AL77" i="4"/>
  <c r="AN77" i="4" s="1"/>
  <c r="AH77" i="4"/>
  <c r="AD77" i="4"/>
  <c r="AC77" i="4"/>
  <c r="AA77" i="4"/>
  <c r="Z77" i="4"/>
  <c r="AB77" i="4" s="1"/>
  <c r="X77" i="4"/>
  <c r="W77" i="4"/>
  <c r="Y77" i="4" s="1"/>
  <c r="V77" i="4"/>
  <c r="R77" i="4"/>
  <c r="N77" i="4"/>
  <c r="G77" i="4"/>
  <c r="I77" i="4" s="1"/>
  <c r="F77" i="4"/>
  <c r="C77" i="4"/>
  <c r="AX76" i="4"/>
  <c r="AW76" i="4"/>
  <c r="AU76" i="4"/>
  <c r="AV76" i="4" s="1"/>
  <c r="AS76" i="4"/>
  <c r="AR76" i="4"/>
  <c r="AQ76" i="4"/>
  <c r="AN76" i="4"/>
  <c r="AM76" i="4"/>
  <c r="AO76" i="4" s="1"/>
  <c r="AK76" i="4"/>
  <c r="AJ76" i="4"/>
  <c r="AI76" i="4"/>
  <c r="AE76" i="4"/>
  <c r="AG76" i="4" s="1"/>
  <c r="AA76" i="4"/>
  <c r="X76" i="4"/>
  <c r="W76" i="4"/>
  <c r="Y76" i="4" s="1"/>
  <c r="S76" i="4"/>
  <c r="Q76" i="4"/>
  <c r="O76" i="4"/>
  <c r="P76" i="4" s="1"/>
  <c r="M76" i="4"/>
  <c r="L76" i="4"/>
  <c r="K76" i="4"/>
  <c r="J76" i="4"/>
  <c r="I76" i="4"/>
  <c r="H76" i="4"/>
  <c r="G76" i="4"/>
  <c r="F76" i="4"/>
  <c r="C76" i="4"/>
  <c r="B76" i="4"/>
  <c r="D76" i="4" s="1"/>
  <c r="AU75" i="4"/>
  <c r="AU77" i="4" s="1"/>
  <c r="AS75" i="4"/>
  <c r="AQ75" i="4"/>
  <c r="AR75" i="4" s="1"/>
  <c r="AO75" i="4"/>
  <c r="AN75" i="4"/>
  <c r="AM75" i="4"/>
  <c r="AM77" i="4" s="1"/>
  <c r="AK75" i="4"/>
  <c r="AI75" i="4"/>
  <c r="AE75" i="4"/>
  <c r="AC75" i="4"/>
  <c r="AB75" i="4"/>
  <c r="AA75" i="4"/>
  <c r="W75" i="4"/>
  <c r="S75" i="4"/>
  <c r="Q75" i="4"/>
  <c r="P75" i="4"/>
  <c r="O75" i="4"/>
  <c r="K75" i="4"/>
  <c r="K77" i="4" s="1"/>
  <c r="J75" i="4"/>
  <c r="L75" i="4" s="1"/>
  <c r="I75" i="4"/>
  <c r="H75" i="4"/>
  <c r="G75" i="4"/>
  <c r="C75" i="4"/>
  <c r="B75" i="4"/>
  <c r="AY74" i="4"/>
  <c r="BA74" i="4" s="1"/>
  <c r="AX74" i="4"/>
  <c r="AZ74" i="4" s="1"/>
  <c r="AW74" i="4"/>
  <c r="AV74" i="4"/>
  <c r="AS74" i="4"/>
  <c r="AR74" i="4"/>
  <c r="AO74" i="4"/>
  <c r="AN74" i="4"/>
  <c r="AK74" i="4"/>
  <c r="AJ74" i="4"/>
  <c r="AG74" i="4"/>
  <c r="AF74" i="4"/>
  <c r="AC74" i="4"/>
  <c r="AB74" i="4"/>
  <c r="Y74" i="4"/>
  <c r="X74" i="4"/>
  <c r="U74" i="4"/>
  <c r="T74" i="4"/>
  <c r="Q74" i="4"/>
  <c r="P74" i="4"/>
  <c r="M74" i="4"/>
  <c r="L74" i="4"/>
  <c r="I74" i="4"/>
  <c r="H74" i="4"/>
  <c r="E74" i="4"/>
  <c r="D74" i="4"/>
  <c r="AX73" i="4"/>
  <c r="AW73" i="4"/>
  <c r="AV73" i="4"/>
  <c r="AU73" i="4"/>
  <c r="AQ73" i="4"/>
  <c r="AS73" i="4" s="1"/>
  <c r="AO73" i="4"/>
  <c r="AN73" i="4"/>
  <c r="AM73" i="4"/>
  <c r="AJ73" i="4"/>
  <c r="AI73" i="4"/>
  <c r="AK73" i="4" s="1"/>
  <c r="AG73" i="4"/>
  <c r="AF73" i="4"/>
  <c r="AE73" i="4"/>
  <c r="AB73" i="4"/>
  <c r="AA73" i="4"/>
  <c r="AC73" i="4" s="1"/>
  <c r="X73" i="4"/>
  <c r="W73" i="4"/>
  <c r="Y73" i="4" s="1"/>
  <c r="U73" i="4"/>
  <c r="T73" i="4"/>
  <c r="S73" i="4"/>
  <c r="O73" i="4"/>
  <c r="Q73" i="4" s="1"/>
  <c r="M73" i="4"/>
  <c r="K73" i="4"/>
  <c r="J73" i="4"/>
  <c r="L73" i="4" s="1"/>
  <c r="G73" i="4"/>
  <c r="I73" i="4" s="1"/>
  <c r="E73" i="4"/>
  <c r="C73" i="4"/>
  <c r="B73" i="4"/>
  <c r="D73" i="4" s="1"/>
  <c r="AU72" i="4"/>
  <c r="AS72" i="4"/>
  <c r="AR72" i="4"/>
  <c r="AQ72" i="4"/>
  <c r="AM72" i="4"/>
  <c r="AK72" i="4"/>
  <c r="AJ72" i="4"/>
  <c r="AI72" i="4"/>
  <c r="AE72" i="4"/>
  <c r="AG72" i="4" s="1"/>
  <c r="AC72" i="4"/>
  <c r="AB72" i="4"/>
  <c r="AA72" i="4"/>
  <c r="Y72" i="4"/>
  <c r="X72" i="4"/>
  <c r="W72" i="4"/>
  <c r="T72" i="4"/>
  <c r="S72" i="4"/>
  <c r="U72" i="4" s="1"/>
  <c r="Q72" i="4"/>
  <c r="P72" i="4"/>
  <c r="O72" i="4"/>
  <c r="K72" i="4"/>
  <c r="J72" i="4"/>
  <c r="I72" i="4"/>
  <c r="H72" i="4"/>
  <c r="G72" i="4"/>
  <c r="F72" i="4"/>
  <c r="C72" i="4"/>
  <c r="AY72" i="4" s="1"/>
  <c r="B72" i="4"/>
  <c r="AX72" i="4" s="1"/>
  <c r="AZ72" i="4" s="1"/>
  <c r="AU71" i="4"/>
  <c r="AW71" i="4" s="1"/>
  <c r="AQ71" i="4"/>
  <c r="AO71" i="4"/>
  <c r="AN71" i="4"/>
  <c r="AM71" i="4"/>
  <c r="AI71" i="4"/>
  <c r="AK71" i="4" s="1"/>
  <c r="AG71" i="4"/>
  <c r="AF71" i="4"/>
  <c r="AE71" i="4"/>
  <c r="AC71" i="4"/>
  <c r="AB71" i="4"/>
  <c r="AA71" i="4"/>
  <c r="X71" i="4"/>
  <c r="W71" i="4"/>
  <c r="Y71" i="4" s="1"/>
  <c r="U71" i="4"/>
  <c r="T71" i="4"/>
  <c r="S71" i="4"/>
  <c r="O71" i="4"/>
  <c r="Q71" i="4" s="1"/>
  <c r="M71" i="4"/>
  <c r="L71" i="4"/>
  <c r="K71" i="4"/>
  <c r="J71" i="4"/>
  <c r="G71" i="4"/>
  <c r="F71" i="4"/>
  <c r="AX71" i="4" s="1"/>
  <c r="E71" i="4"/>
  <c r="D71" i="4"/>
  <c r="C71" i="4"/>
  <c r="B71" i="4"/>
  <c r="AT70" i="4"/>
  <c r="AQ70" i="4"/>
  <c r="AS70" i="4" s="1"/>
  <c r="AP70" i="4"/>
  <c r="AL70" i="4"/>
  <c r="AH70" i="4"/>
  <c r="AD70" i="4"/>
  <c r="Z70" i="4"/>
  <c r="V70" i="4"/>
  <c r="S70" i="4"/>
  <c r="R70" i="4"/>
  <c r="T70" i="4" s="1"/>
  <c r="N70" i="4"/>
  <c r="AX69" i="4"/>
  <c r="AW69" i="4"/>
  <c r="AV69" i="4"/>
  <c r="AU69" i="4"/>
  <c r="AQ69" i="4"/>
  <c r="AS69" i="4" s="1"/>
  <c r="AO69" i="4"/>
  <c r="AN69" i="4"/>
  <c r="AM69" i="4"/>
  <c r="AJ69" i="4"/>
  <c r="AI69" i="4"/>
  <c r="AK69" i="4" s="1"/>
  <c r="AE69" i="4"/>
  <c r="AG69" i="4" s="1"/>
  <c r="AC69" i="4"/>
  <c r="AB69" i="4"/>
  <c r="AA69" i="4"/>
  <c r="X69" i="4"/>
  <c r="W69" i="4"/>
  <c r="Y69" i="4" s="1"/>
  <c r="U69" i="4"/>
  <c r="T69" i="4"/>
  <c r="S69" i="4"/>
  <c r="Q69" i="4"/>
  <c r="P69" i="4"/>
  <c r="O69" i="4"/>
  <c r="M69" i="4"/>
  <c r="L69" i="4"/>
  <c r="K69" i="4"/>
  <c r="I69" i="4"/>
  <c r="G69" i="4"/>
  <c r="H69" i="4" s="1"/>
  <c r="C69" i="4"/>
  <c r="AW68" i="4"/>
  <c r="AV68" i="4"/>
  <c r="AU68" i="4"/>
  <c r="AR68" i="4"/>
  <c r="AQ68" i="4"/>
  <c r="AS68" i="4" s="1"/>
  <c r="AO68" i="4"/>
  <c r="AN68" i="4"/>
  <c r="AM68" i="4"/>
  <c r="AI68" i="4"/>
  <c r="AK68" i="4" s="1"/>
  <c r="AG68" i="4"/>
  <c r="AE68" i="4"/>
  <c r="AF68" i="4" s="1"/>
  <c r="AA68" i="4"/>
  <c r="AC68" i="4" s="1"/>
  <c r="Y68" i="4"/>
  <c r="W68" i="4"/>
  <c r="X68" i="4" s="1"/>
  <c r="U68" i="4"/>
  <c r="T68" i="4"/>
  <c r="S68" i="4"/>
  <c r="O68" i="4"/>
  <c r="M68" i="4"/>
  <c r="L68" i="4"/>
  <c r="K68" i="4"/>
  <c r="G68" i="4"/>
  <c r="I68" i="4" s="1"/>
  <c r="F68" i="4"/>
  <c r="C68" i="4"/>
  <c r="B68" i="4"/>
  <c r="AX68" i="4" s="1"/>
  <c r="AU67" i="4"/>
  <c r="AQ67" i="4"/>
  <c r="AS67" i="4" s="1"/>
  <c r="AM67" i="4"/>
  <c r="AJ67" i="4"/>
  <c r="AI67" i="4"/>
  <c r="AK67" i="4" s="1"/>
  <c r="AG67" i="4"/>
  <c r="AF67" i="4"/>
  <c r="AE67" i="4"/>
  <c r="AA67" i="4"/>
  <c r="Y67" i="4"/>
  <c r="X67" i="4"/>
  <c r="W67" i="4"/>
  <c r="S67" i="4"/>
  <c r="U67" i="4" s="1"/>
  <c r="Q67" i="4"/>
  <c r="P67" i="4"/>
  <c r="O67" i="4"/>
  <c r="K67" i="4"/>
  <c r="J67" i="4"/>
  <c r="I67" i="4"/>
  <c r="H67" i="4"/>
  <c r="G67" i="4"/>
  <c r="C67" i="4"/>
  <c r="AV66" i="4"/>
  <c r="AU66" i="4"/>
  <c r="AW66" i="4" s="1"/>
  <c r="AS66" i="4"/>
  <c r="AR66" i="4"/>
  <c r="AQ66" i="4"/>
  <c r="AM66" i="4"/>
  <c r="AO66" i="4" s="1"/>
  <c r="AJ66" i="4"/>
  <c r="AI66" i="4"/>
  <c r="AK66" i="4" s="1"/>
  <c r="AG66" i="4"/>
  <c r="AE66" i="4"/>
  <c r="AF66" i="4" s="1"/>
  <c r="AC66" i="4"/>
  <c r="AB66" i="4"/>
  <c r="AA66" i="4"/>
  <c r="Y66" i="4"/>
  <c r="X66" i="4"/>
  <c r="W66" i="4"/>
  <c r="U66" i="4"/>
  <c r="T66" i="4"/>
  <c r="S66" i="4"/>
  <c r="Q66" i="4"/>
  <c r="O66" i="4"/>
  <c r="P66" i="4" s="1"/>
  <c r="K66" i="4"/>
  <c r="J66" i="4"/>
  <c r="AX66" i="4" s="1"/>
  <c r="G66" i="4"/>
  <c r="I66" i="4" s="1"/>
  <c r="E66" i="4"/>
  <c r="C66" i="4"/>
  <c r="D66" i="4" s="1"/>
  <c r="AW65" i="4"/>
  <c r="AU65" i="4"/>
  <c r="AV65" i="4" s="1"/>
  <c r="AS65" i="4"/>
  <c r="AR65" i="4"/>
  <c r="AQ65" i="4"/>
  <c r="AO65" i="4"/>
  <c r="AM65" i="4"/>
  <c r="AN65" i="4" s="1"/>
  <c r="AI65" i="4"/>
  <c r="AK65" i="4" s="1"/>
  <c r="AE65" i="4"/>
  <c r="AG65" i="4" s="1"/>
  <c r="AB65" i="4"/>
  <c r="AA65" i="4"/>
  <c r="W65" i="4"/>
  <c r="U65" i="4"/>
  <c r="T65" i="4"/>
  <c r="S65" i="4"/>
  <c r="O65" i="4"/>
  <c r="K65" i="4"/>
  <c r="M65" i="4" s="1"/>
  <c r="I65" i="4"/>
  <c r="G65" i="4"/>
  <c r="H65" i="4" s="1"/>
  <c r="C65" i="4"/>
  <c r="B65" i="4"/>
  <c r="AX64" i="4"/>
  <c r="AW64" i="4"/>
  <c r="AU64" i="4"/>
  <c r="AQ64" i="4"/>
  <c r="AO64" i="4"/>
  <c r="AN64" i="4"/>
  <c r="AM64" i="4"/>
  <c r="AJ64" i="4"/>
  <c r="AI64" i="4"/>
  <c r="AK64" i="4" s="1"/>
  <c r="AG64" i="4"/>
  <c r="AF64" i="4"/>
  <c r="AE64" i="4"/>
  <c r="AC64" i="4"/>
  <c r="AB64" i="4"/>
  <c r="AA64" i="4"/>
  <c r="W64" i="4"/>
  <c r="U64" i="4"/>
  <c r="T64" i="4"/>
  <c r="S64" i="4"/>
  <c r="O64" i="4"/>
  <c r="Q64" i="4" s="1"/>
  <c r="K64" i="4"/>
  <c r="M64" i="4" s="1"/>
  <c r="J64" i="4"/>
  <c r="G64" i="4"/>
  <c r="I64" i="4" s="1"/>
  <c r="F64" i="4"/>
  <c r="F70" i="4" s="1"/>
  <c r="E64" i="4"/>
  <c r="D64" i="4"/>
  <c r="C64" i="4"/>
  <c r="AX63" i="4"/>
  <c r="AW63" i="4"/>
  <c r="AU63" i="4"/>
  <c r="AV63" i="4" s="1"/>
  <c r="AS63" i="4"/>
  <c r="AQ63" i="4"/>
  <c r="AR63" i="4" s="1"/>
  <c r="AO63" i="4"/>
  <c r="AN63" i="4"/>
  <c r="AM63" i="4"/>
  <c r="AK63" i="4"/>
  <c r="AI63" i="4"/>
  <c r="AE63" i="4"/>
  <c r="AG63" i="4" s="1"/>
  <c r="AA63" i="4"/>
  <c r="W63" i="4"/>
  <c r="S63" i="4"/>
  <c r="P63" i="4"/>
  <c r="O63" i="4"/>
  <c r="K63" i="4"/>
  <c r="G63" i="4"/>
  <c r="E63" i="4"/>
  <c r="D63" i="4"/>
  <c r="C63" i="4"/>
  <c r="AZ62" i="4"/>
  <c r="AY62" i="4"/>
  <c r="BA62" i="4" s="1"/>
  <c r="AX62" i="4"/>
  <c r="AW62" i="4"/>
  <c r="AV62" i="4"/>
  <c r="AS62" i="4"/>
  <c r="AR62" i="4"/>
  <c r="AO62" i="4"/>
  <c r="AN62" i="4"/>
  <c r="AK62" i="4"/>
  <c r="AJ62" i="4"/>
  <c r="AG62" i="4"/>
  <c r="AF62" i="4"/>
  <c r="AC62" i="4"/>
  <c r="AB62" i="4"/>
  <c r="Y62" i="4"/>
  <c r="X62" i="4"/>
  <c r="U62" i="4"/>
  <c r="T62" i="4"/>
  <c r="Q62" i="4"/>
  <c r="P62" i="4"/>
  <c r="M62" i="4"/>
  <c r="L62" i="4"/>
  <c r="I62" i="4"/>
  <c r="H62" i="4"/>
  <c r="E62" i="4"/>
  <c r="D62" i="4"/>
  <c r="AX61" i="4"/>
  <c r="AU61" i="4"/>
  <c r="AR61" i="4"/>
  <c r="AQ61" i="4"/>
  <c r="AS61" i="4" s="1"/>
  <c r="AO61" i="4"/>
  <c r="AM61" i="4"/>
  <c r="AN61" i="4" s="1"/>
  <c r="AI61" i="4"/>
  <c r="AK61" i="4" s="1"/>
  <c r="AG61" i="4"/>
  <c r="AE61" i="4"/>
  <c r="AF61" i="4" s="1"/>
  <c r="AA61" i="4"/>
  <c r="Y61" i="4"/>
  <c r="W61" i="4"/>
  <c r="X61" i="4" s="1"/>
  <c r="T61" i="4"/>
  <c r="S61" i="4"/>
  <c r="U61" i="4" s="1"/>
  <c r="Q61" i="4"/>
  <c r="P61" i="4"/>
  <c r="O61" i="4"/>
  <c r="K61" i="4"/>
  <c r="I61" i="4"/>
  <c r="G61" i="4"/>
  <c r="H61" i="4" s="1"/>
  <c r="C61" i="4"/>
  <c r="B61" i="4"/>
  <c r="D61" i="4" s="1"/>
  <c r="AU60" i="4"/>
  <c r="AW60" i="4" s="1"/>
  <c r="AS60" i="4"/>
  <c r="AR60" i="4"/>
  <c r="AQ60" i="4"/>
  <c r="AM60" i="4"/>
  <c r="AI60" i="4"/>
  <c r="AK60" i="4" s="1"/>
  <c r="AE60" i="4"/>
  <c r="AC60" i="4"/>
  <c r="AA60" i="4"/>
  <c r="AB60" i="4" s="1"/>
  <c r="W60" i="4"/>
  <c r="Y60" i="4" s="1"/>
  <c r="U60" i="4"/>
  <c r="S60" i="4"/>
  <c r="T60" i="4" s="1"/>
  <c r="Q60" i="4"/>
  <c r="P60" i="4"/>
  <c r="O60" i="4"/>
  <c r="K60" i="4"/>
  <c r="M60" i="4" s="1"/>
  <c r="J60" i="4"/>
  <c r="I60" i="4"/>
  <c r="G60" i="4"/>
  <c r="F60" i="4"/>
  <c r="C60" i="4"/>
  <c r="D60" i="4" s="1"/>
  <c r="B60" i="4"/>
  <c r="AX59" i="4"/>
  <c r="AU59" i="4"/>
  <c r="AQ59" i="4"/>
  <c r="AM59" i="4"/>
  <c r="AN59" i="4" s="1"/>
  <c r="AI59" i="4"/>
  <c r="AF59" i="4"/>
  <c r="AE59" i="4"/>
  <c r="AG59" i="4" s="1"/>
  <c r="AC59" i="4"/>
  <c r="AA59" i="4"/>
  <c r="AB59" i="4" s="1"/>
  <c r="Y59" i="4"/>
  <c r="W59" i="4"/>
  <c r="X59" i="4" s="1"/>
  <c r="U59" i="4"/>
  <c r="T59" i="4"/>
  <c r="S59" i="4"/>
  <c r="P59" i="4"/>
  <c r="O59" i="4"/>
  <c r="Q59" i="4" s="1"/>
  <c r="M59" i="4"/>
  <c r="L59" i="4"/>
  <c r="K59" i="4"/>
  <c r="G59" i="4"/>
  <c r="I59" i="4" s="1"/>
  <c r="C59" i="4"/>
  <c r="AW58" i="4"/>
  <c r="AU58" i="4"/>
  <c r="AV58" i="4" s="1"/>
  <c r="AT58" i="4"/>
  <c r="AP58" i="4"/>
  <c r="AL58" i="4"/>
  <c r="AK58" i="4"/>
  <c r="AJ58" i="4"/>
  <c r="AI58" i="4"/>
  <c r="AH58" i="4"/>
  <c r="AD58" i="4"/>
  <c r="AA58" i="4"/>
  <c r="AB58" i="4" s="1"/>
  <c r="Z58" i="4"/>
  <c r="V58" i="4"/>
  <c r="R58" i="4"/>
  <c r="N58" i="4"/>
  <c r="J58" i="4"/>
  <c r="BA57" i="4"/>
  <c r="AY57" i="4"/>
  <c r="AW57" i="4"/>
  <c r="AV57" i="4"/>
  <c r="AS57" i="4"/>
  <c r="AR57" i="4"/>
  <c r="AO57" i="4"/>
  <c r="AN57" i="4"/>
  <c r="AK57" i="4"/>
  <c r="AJ57" i="4"/>
  <c r="AG57" i="4"/>
  <c r="AF57" i="4"/>
  <c r="AC57" i="4"/>
  <c r="AB57" i="4"/>
  <c r="Y57" i="4"/>
  <c r="X57" i="4"/>
  <c r="U57" i="4"/>
  <c r="T57" i="4"/>
  <c r="Q57" i="4"/>
  <c r="P57" i="4"/>
  <c r="M57" i="4"/>
  <c r="L57" i="4"/>
  <c r="I57" i="4"/>
  <c r="H57" i="4"/>
  <c r="F57" i="4"/>
  <c r="E57" i="4"/>
  <c r="D57" i="4"/>
  <c r="AW56" i="4"/>
  <c r="AV56" i="4"/>
  <c r="AU56" i="4"/>
  <c r="AQ56" i="4"/>
  <c r="AO56" i="4"/>
  <c r="AN56" i="4"/>
  <c r="AM56" i="4"/>
  <c r="AJ56" i="4"/>
  <c r="AI56" i="4"/>
  <c r="AK56" i="4" s="1"/>
  <c r="AE56" i="4"/>
  <c r="AC56" i="4"/>
  <c r="AB56" i="4"/>
  <c r="AA56" i="4"/>
  <c r="Y56" i="4"/>
  <c r="X56" i="4"/>
  <c r="W56" i="4"/>
  <c r="U56" i="4"/>
  <c r="S56" i="4"/>
  <c r="T56" i="4" s="1"/>
  <c r="O56" i="4"/>
  <c r="Q56" i="4" s="1"/>
  <c r="M56" i="4"/>
  <c r="K56" i="4"/>
  <c r="L56" i="4" s="1"/>
  <c r="G56" i="4"/>
  <c r="I56" i="4" s="1"/>
  <c r="C56" i="4"/>
  <c r="B56" i="4"/>
  <c r="AW55" i="4"/>
  <c r="AU55" i="4"/>
  <c r="AV55" i="4" s="1"/>
  <c r="AQ55" i="4"/>
  <c r="AQ58" i="4" s="1"/>
  <c r="AO55" i="4"/>
  <c r="AM55" i="4"/>
  <c r="AN55" i="4" s="1"/>
  <c r="AJ55" i="4"/>
  <c r="AI55" i="4"/>
  <c r="AK55" i="4" s="1"/>
  <c r="AG55" i="4"/>
  <c r="AF55" i="4"/>
  <c r="AE55" i="4"/>
  <c r="AB55" i="4"/>
  <c r="AA55" i="4"/>
  <c r="AC55" i="4" s="1"/>
  <c r="Y55" i="4"/>
  <c r="X55" i="4"/>
  <c r="W55" i="4"/>
  <c r="S55" i="4"/>
  <c r="Q55" i="4"/>
  <c r="O55" i="4"/>
  <c r="P55" i="4" s="1"/>
  <c r="K55" i="4"/>
  <c r="G55" i="4"/>
  <c r="G58" i="4" s="1"/>
  <c r="C55" i="4"/>
  <c r="B55" i="4"/>
  <c r="D55" i="4" s="1"/>
  <c r="BA54" i="4"/>
  <c r="AY54" i="4"/>
  <c r="AX54" i="4"/>
  <c r="AZ54" i="4" s="1"/>
  <c r="AW54" i="4"/>
  <c r="AV54" i="4"/>
  <c r="AS54" i="4"/>
  <c r="AR54" i="4"/>
  <c r="AO54" i="4"/>
  <c r="AN54" i="4"/>
  <c r="AK54" i="4"/>
  <c r="AJ54" i="4"/>
  <c r="AG54" i="4"/>
  <c r="AF54" i="4"/>
  <c r="AC54" i="4"/>
  <c r="AB54" i="4"/>
  <c r="Y54" i="4"/>
  <c r="X54" i="4"/>
  <c r="U54" i="4"/>
  <c r="T54" i="4"/>
  <c r="Q54" i="4"/>
  <c r="P54" i="4"/>
  <c r="M54" i="4"/>
  <c r="L54" i="4"/>
  <c r="I54" i="4"/>
  <c r="H54" i="4"/>
  <c r="E54" i="4"/>
  <c r="D54" i="4"/>
  <c r="AX53" i="4"/>
  <c r="AU53" i="4"/>
  <c r="AQ53" i="4"/>
  <c r="AS53" i="4" s="1"/>
  <c r="AM53" i="4"/>
  <c r="AK53" i="4"/>
  <c r="AI53" i="4"/>
  <c r="AJ53" i="4" s="1"/>
  <c r="AE53" i="4"/>
  <c r="AC53" i="4"/>
  <c r="AB53" i="4"/>
  <c r="AA53" i="4"/>
  <c r="W53" i="4"/>
  <c r="S53" i="4"/>
  <c r="U53" i="4" s="1"/>
  <c r="Q53" i="4"/>
  <c r="O53" i="4"/>
  <c r="P53" i="4" s="1"/>
  <c r="M53" i="4"/>
  <c r="L53" i="4"/>
  <c r="K53" i="4"/>
  <c r="I53" i="4"/>
  <c r="H53" i="4"/>
  <c r="G53" i="4"/>
  <c r="D53" i="4"/>
  <c r="C53" i="4"/>
  <c r="AU52" i="4"/>
  <c r="AW52" i="4" s="1"/>
  <c r="AQ52" i="4"/>
  <c r="AS52" i="4" s="1"/>
  <c r="AO52" i="4"/>
  <c r="AM52" i="4"/>
  <c r="AN52" i="4" s="1"/>
  <c r="AK52" i="4"/>
  <c r="AI52" i="4"/>
  <c r="AJ52" i="4" s="1"/>
  <c r="AE52" i="4"/>
  <c r="AC52" i="4"/>
  <c r="AB52" i="4"/>
  <c r="AA52" i="4"/>
  <c r="W52" i="4"/>
  <c r="S52" i="4"/>
  <c r="P52" i="4"/>
  <c r="O52" i="4"/>
  <c r="Q52" i="4" s="1"/>
  <c r="K52" i="4"/>
  <c r="J52" i="4"/>
  <c r="L52" i="4" s="1"/>
  <c r="I52" i="4"/>
  <c r="G52" i="4"/>
  <c r="H52" i="4" s="1"/>
  <c r="E52" i="4"/>
  <c r="D52" i="4"/>
  <c r="C52" i="4"/>
  <c r="B52" i="4"/>
  <c r="Z51" i="4"/>
  <c r="AU50" i="4"/>
  <c r="AS50" i="4"/>
  <c r="AQ50" i="4"/>
  <c r="AR50" i="4" s="1"/>
  <c r="AN50" i="4"/>
  <c r="AM50" i="4"/>
  <c r="AO50" i="4" s="1"/>
  <c r="AK50" i="4"/>
  <c r="AJ50" i="4"/>
  <c r="AI50" i="4"/>
  <c r="AE50" i="4"/>
  <c r="AG50" i="4" s="1"/>
  <c r="AA50" i="4"/>
  <c r="W50" i="4"/>
  <c r="U50" i="4"/>
  <c r="T50" i="4"/>
  <c r="S50" i="4"/>
  <c r="O50" i="4"/>
  <c r="M50" i="4"/>
  <c r="L50" i="4"/>
  <c r="K50" i="4"/>
  <c r="H50" i="4"/>
  <c r="G50" i="4"/>
  <c r="I50" i="4" s="1"/>
  <c r="E50" i="4"/>
  <c r="D50" i="4"/>
  <c r="C50" i="4"/>
  <c r="B50" i="4"/>
  <c r="AX50" i="4" s="1"/>
  <c r="AT49" i="4"/>
  <c r="AP49" i="4"/>
  <c r="AM49" i="4"/>
  <c r="AL49" i="4"/>
  <c r="AN49" i="4" s="1"/>
  <c r="AI49" i="4"/>
  <c r="AH49" i="4"/>
  <c r="AD49" i="4"/>
  <c r="AG49" i="4" s="1"/>
  <c r="AA49" i="4"/>
  <c r="Z49" i="4"/>
  <c r="W49" i="4"/>
  <c r="Y49" i="4" s="1"/>
  <c r="V49" i="4"/>
  <c r="R49" i="4"/>
  <c r="N49" i="4"/>
  <c r="N51" i="4" s="1"/>
  <c r="B49" i="4"/>
  <c r="AX48" i="4"/>
  <c r="AW48" i="4"/>
  <c r="AV48" i="4"/>
  <c r="AU48" i="4"/>
  <c r="AS48" i="4"/>
  <c r="AR48" i="4"/>
  <c r="AQ48" i="4"/>
  <c r="AM48" i="4"/>
  <c r="AO48" i="4" s="1"/>
  <c r="AK48" i="4"/>
  <c r="AJ48" i="4"/>
  <c r="AI48" i="4"/>
  <c r="AE48" i="4"/>
  <c r="AG48" i="4" s="1"/>
  <c r="AC48" i="4"/>
  <c r="AB48" i="4"/>
  <c r="AA48" i="4"/>
  <c r="W48" i="4"/>
  <c r="Y48" i="4" s="1"/>
  <c r="S48" i="4"/>
  <c r="U48" i="4" s="1"/>
  <c r="Q48" i="4"/>
  <c r="O48" i="4"/>
  <c r="P48" i="4" s="1"/>
  <c r="K48" i="4"/>
  <c r="M48" i="4" s="1"/>
  <c r="I48" i="4"/>
  <c r="G48" i="4"/>
  <c r="H48" i="4" s="1"/>
  <c r="C48" i="4"/>
  <c r="E48" i="4" s="1"/>
  <c r="AW47" i="4"/>
  <c r="AV47" i="4"/>
  <c r="AU47" i="4"/>
  <c r="AU49" i="4" s="1"/>
  <c r="AS47" i="4"/>
  <c r="AR47" i="4"/>
  <c r="AQ47" i="4"/>
  <c r="AM47" i="4"/>
  <c r="AO47" i="4" s="1"/>
  <c r="AK47" i="4"/>
  <c r="AJ47" i="4"/>
  <c r="AI47" i="4"/>
  <c r="AF47" i="4"/>
  <c r="AE47" i="4"/>
  <c r="AG47" i="4" s="1"/>
  <c r="AA47" i="4"/>
  <c r="W47" i="4"/>
  <c r="S47" i="4"/>
  <c r="Q47" i="4"/>
  <c r="O47" i="4"/>
  <c r="P47" i="4" s="1"/>
  <c r="M47" i="4"/>
  <c r="L47" i="4"/>
  <c r="K47" i="4"/>
  <c r="J47" i="4"/>
  <c r="G47" i="4"/>
  <c r="I47" i="4" s="1"/>
  <c r="F47" i="4"/>
  <c r="C47" i="4"/>
  <c r="B47" i="4"/>
  <c r="AW46" i="4"/>
  <c r="AV46" i="4"/>
  <c r="AU46" i="4"/>
  <c r="AQ46" i="4"/>
  <c r="AQ49" i="4" s="1"/>
  <c r="AO46" i="4"/>
  <c r="AN46" i="4"/>
  <c r="AM46" i="4"/>
  <c r="AI46" i="4"/>
  <c r="AK46" i="4" s="1"/>
  <c r="AG46" i="4"/>
  <c r="AE46" i="4"/>
  <c r="AE49" i="4" s="1"/>
  <c r="AC46" i="4"/>
  <c r="AA46" i="4"/>
  <c r="AB46" i="4" s="1"/>
  <c r="Y46" i="4"/>
  <c r="W46" i="4"/>
  <c r="X46" i="4" s="1"/>
  <c r="U46" i="4"/>
  <c r="T46" i="4"/>
  <c r="S46" i="4"/>
  <c r="O46" i="4"/>
  <c r="K46" i="4"/>
  <c r="J46" i="4"/>
  <c r="I46" i="4"/>
  <c r="G46" i="4"/>
  <c r="F46" i="4"/>
  <c r="E46" i="4"/>
  <c r="D46" i="4"/>
  <c r="C46" i="4"/>
  <c r="B46" i="4"/>
  <c r="BA45" i="4"/>
  <c r="AZ45" i="4"/>
  <c r="AY45" i="4"/>
  <c r="AX45" i="4"/>
  <c r="AW45" i="4"/>
  <c r="AV45" i="4"/>
  <c r="AS45" i="4"/>
  <c r="AR45" i="4"/>
  <c r="AO45" i="4"/>
  <c r="AN45" i="4"/>
  <c r="AK45" i="4"/>
  <c r="AJ45" i="4"/>
  <c r="AG45" i="4"/>
  <c r="AF45" i="4"/>
  <c r="AC45" i="4"/>
  <c r="AB45" i="4"/>
  <c r="Y45" i="4"/>
  <c r="X45" i="4"/>
  <c r="U45" i="4"/>
  <c r="T45" i="4"/>
  <c r="Q45" i="4"/>
  <c r="P45" i="4"/>
  <c r="M45" i="4"/>
  <c r="L45" i="4"/>
  <c r="I45" i="4"/>
  <c r="H45" i="4"/>
  <c r="E45" i="4"/>
  <c r="D45" i="4"/>
  <c r="AX44" i="4"/>
  <c r="AU44" i="4"/>
  <c r="AW44" i="4" s="1"/>
  <c r="AS44" i="4"/>
  <c r="AQ44" i="4"/>
  <c r="AR44" i="4" s="1"/>
  <c r="AO44" i="4"/>
  <c r="AN44" i="4"/>
  <c r="AM44" i="4"/>
  <c r="AI44" i="4"/>
  <c r="AK44" i="4" s="1"/>
  <c r="AG44" i="4"/>
  <c r="AF44" i="4"/>
  <c r="AE44" i="4"/>
  <c r="AC44" i="4"/>
  <c r="AB44" i="4"/>
  <c r="AA44" i="4"/>
  <c r="W44" i="4"/>
  <c r="S44" i="4"/>
  <c r="T44" i="4" s="1"/>
  <c r="Q44" i="4"/>
  <c r="P44" i="4"/>
  <c r="O44" i="4"/>
  <c r="M44" i="4"/>
  <c r="L44" i="4"/>
  <c r="K44" i="4"/>
  <c r="J44" i="4"/>
  <c r="G44" i="4"/>
  <c r="I44" i="4" s="1"/>
  <c r="E44" i="4"/>
  <c r="D44" i="4"/>
  <c r="C44" i="4"/>
  <c r="B44" i="4"/>
  <c r="AU43" i="4"/>
  <c r="AT43" i="4"/>
  <c r="AV43" i="4" s="1"/>
  <c r="AQ43" i="4"/>
  <c r="AS43" i="4" s="1"/>
  <c r="AP43" i="4"/>
  <c r="AR43" i="4" s="1"/>
  <c r="AM43" i="4"/>
  <c r="AL43" i="4"/>
  <c r="AN43" i="4" s="1"/>
  <c r="AH43" i="4"/>
  <c r="AD43" i="4"/>
  <c r="AA43" i="4"/>
  <c r="Z43" i="4"/>
  <c r="AB43" i="4" s="1"/>
  <c r="W43" i="4"/>
  <c r="Y43" i="4" s="1"/>
  <c r="V43" i="4"/>
  <c r="S43" i="4"/>
  <c r="R43" i="4"/>
  <c r="O43" i="4"/>
  <c r="P43" i="4" s="1"/>
  <c r="N43" i="4"/>
  <c r="K43" i="4"/>
  <c r="J43" i="4"/>
  <c r="L43" i="4" s="1"/>
  <c r="I43" i="4"/>
  <c r="F43" i="4"/>
  <c r="H43" i="4" s="1"/>
  <c r="AW42" i="4"/>
  <c r="AV42" i="4"/>
  <c r="AU42" i="4"/>
  <c r="AQ42" i="4"/>
  <c r="AM42" i="4"/>
  <c r="AI42" i="4"/>
  <c r="AG42" i="4"/>
  <c r="AF42" i="4"/>
  <c r="AE42" i="4"/>
  <c r="AE43" i="4" s="1"/>
  <c r="AA42" i="4"/>
  <c r="AC42" i="4" s="1"/>
  <c r="Y42" i="4"/>
  <c r="X42" i="4"/>
  <c r="W42" i="4"/>
  <c r="U42" i="4"/>
  <c r="T42" i="4"/>
  <c r="S42" i="4"/>
  <c r="O42" i="4"/>
  <c r="Q42" i="4" s="1"/>
  <c r="K42" i="4"/>
  <c r="I42" i="4"/>
  <c r="G42" i="4"/>
  <c r="G43" i="4" s="1"/>
  <c r="C42" i="4"/>
  <c r="B42" i="4"/>
  <c r="BA41" i="4"/>
  <c r="AY41" i="4"/>
  <c r="AX41" i="4"/>
  <c r="AZ41" i="4" s="1"/>
  <c r="AW41" i="4"/>
  <c r="AV41" i="4"/>
  <c r="AS41" i="4"/>
  <c r="AR41" i="4"/>
  <c r="AO41" i="4"/>
  <c r="AN41" i="4"/>
  <c r="AK41" i="4"/>
  <c r="AJ41" i="4"/>
  <c r="AG41" i="4"/>
  <c r="AF41" i="4"/>
  <c r="AC41" i="4"/>
  <c r="AB41" i="4"/>
  <c r="Y41" i="4"/>
  <c r="X41" i="4"/>
  <c r="U41" i="4"/>
  <c r="T41" i="4"/>
  <c r="Q41" i="4"/>
  <c r="P41" i="4"/>
  <c r="M41" i="4"/>
  <c r="L41" i="4"/>
  <c r="I41" i="4"/>
  <c r="H41" i="4"/>
  <c r="E41" i="4"/>
  <c r="D41" i="4"/>
  <c r="AT40" i="4"/>
  <c r="AP40" i="4"/>
  <c r="AL40" i="4"/>
  <c r="AH40" i="4"/>
  <c r="AE40" i="4"/>
  <c r="AD40" i="4"/>
  <c r="Z40" i="4"/>
  <c r="W40" i="4"/>
  <c r="W51" i="4" s="1"/>
  <c r="Y51" i="4" s="1"/>
  <c r="V40" i="4"/>
  <c r="V51" i="4" s="1"/>
  <c r="R40" i="4"/>
  <c r="N40" i="4"/>
  <c r="AW39" i="4"/>
  <c r="AV39" i="4"/>
  <c r="AU39" i="4"/>
  <c r="AQ39" i="4"/>
  <c r="AO39" i="4"/>
  <c r="AM39" i="4"/>
  <c r="AN39" i="4" s="1"/>
  <c r="AI39" i="4"/>
  <c r="AE39" i="4"/>
  <c r="AG39" i="4" s="1"/>
  <c r="AC39" i="4"/>
  <c r="AA39" i="4"/>
  <c r="AB39" i="4" s="1"/>
  <c r="W39" i="4"/>
  <c r="Y39" i="4" s="1"/>
  <c r="U39" i="4"/>
  <c r="S39" i="4"/>
  <c r="T39" i="4" s="1"/>
  <c r="O39" i="4"/>
  <c r="L39" i="4"/>
  <c r="K39" i="4"/>
  <c r="M39" i="4" s="1"/>
  <c r="G39" i="4"/>
  <c r="I39" i="4" s="1"/>
  <c r="F39" i="4"/>
  <c r="AX39" i="4" s="1"/>
  <c r="E39" i="4"/>
  <c r="D39" i="4"/>
  <c r="C39" i="4"/>
  <c r="B39" i="4"/>
  <c r="AU38" i="4"/>
  <c r="AS38" i="4"/>
  <c r="AQ38" i="4"/>
  <c r="AR38" i="4" s="1"/>
  <c r="AM38" i="4"/>
  <c r="AO38" i="4" s="1"/>
  <c r="AK38" i="4"/>
  <c r="AJ38" i="4"/>
  <c r="AI38" i="4"/>
  <c r="AG38" i="4"/>
  <c r="AF38" i="4"/>
  <c r="AE38" i="4"/>
  <c r="AC38" i="4"/>
  <c r="AB38" i="4"/>
  <c r="AA38" i="4"/>
  <c r="Y38" i="4"/>
  <c r="X38" i="4"/>
  <c r="W38" i="4"/>
  <c r="S38" i="4"/>
  <c r="U38" i="4" s="1"/>
  <c r="Q38" i="4"/>
  <c r="O38" i="4"/>
  <c r="P38" i="4" s="1"/>
  <c r="K38" i="4"/>
  <c r="M38" i="4" s="1"/>
  <c r="J38" i="4"/>
  <c r="L38" i="4" s="1"/>
  <c r="G38" i="4"/>
  <c r="F38" i="4"/>
  <c r="H38" i="4" s="1"/>
  <c r="C38" i="4"/>
  <c r="AY38" i="4" s="1"/>
  <c r="B38" i="4"/>
  <c r="AX38" i="4" s="1"/>
  <c r="AZ38" i="4" s="1"/>
  <c r="AX37" i="4"/>
  <c r="AU37" i="4"/>
  <c r="AW37" i="4" s="1"/>
  <c r="AS37" i="4"/>
  <c r="AQ37" i="4"/>
  <c r="AR37" i="4" s="1"/>
  <c r="AO37" i="4"/>
  <c r="AN37" i="4"/>
  <c r="AM37" i="4"/>
  <c r="AK37" i="4"/>
  <c r="AJ37" i="4"/>
  <c r="AI37" i="4"/>
  <c r="AE37" i="4"/>
  <c r="AG37" i="4" s="1"/>
  <c r="AC37" i="4"/>
  <c r="AB37" i="4"/>
  <c r="AA37" i="4"/>
  <c r="W37" i="4"/>
  <c r="Y37" i="4" s="1"/>
  <c r="U37" i="4"/>
  <c r="S37" i="4"/>
  <c r="T37" i="4" s="1"/>
  <c r="Q37" i="4"/>
  <c r="O37" i="4"/>
  <c r="P37" i="4" s="1"/>
  <c r="M37" i="4"/>
  <c r="K37" i="4"/>
  <c r="L37" i="4" s="1"/>
  <c r="J37" i="4"/>
  <c r="G37" i="4"/>
  <c r="E37" i="4"/>
  <c r="C37" i="4"/>
  <c r="B37" i="4"/>
  <c r="AU36" i="4"/>
  <c r="AU40" i="4" s="1"/>
  <c r="AS36" i="4"/>
  <c r="AQ36" i="4"/>
  <c r="AR36" i="4" s="1"/>
  <c r="AM36" i="4"/>
  <c r="AO36" i="4" s="1"/>
  <c r="AK36" i="4"/>
  <c r="AJ36" i="4"/>
  <c r="AI36" i="4"/>
  <c r="AE36" i="4"/>
  <c r="AG36" i="4" s="1"/>
  <c r="AA36" i="4"/>
  <c r="Y36" i="4"/>
  <c r="X36" i="4"/>
  <c r="W36" i="4"/>
  <c r="S36" i="4"/>
  <c r="S40" i="4" s="1"/>
  <c r="Q36" i="4"/>
  <c r="P36" i="4"/>
  <c r="O36" i="4"/>
  <c r="K36" i="4"/>
  <c r="J36" i="4"/>
  <c r="L36" i="4" s="1"/>
  <c r="G36" i="4"/>
  <c r="F36" i="4"/>
  <c r="C36" i="4"/>
  <c r="B36" i="4"/>
  <c r="BA35" i="4"/>
  <c r="AZ35" i="4"/>
  <c r="AY35" i="4"/>
  <c r="AX35" i="4"/>
  <c r="AW35" i="4"/>
  <c r="AV35" i="4"/>
  <c r="AS35" i="4"/>
  <c r="AR35" i="4"/>
  <c r="AO35" i="4"/>
  <c r="AN35" i="4"/>
  <c r="AK35" i="4"/>
  <c r="AJ35" i="4"/>
  <c r="AG35" i="4"/>
  <c r="AF35" i="4"/>
  <c r="AC35" i="4"/>
  <c r="AB35" i="4"/>
  <c r="Y35" i="4"/>
  <c r="X35" i="4"/>
  <c r="U35" i="4"/>
  <c r="T35" i="4"/>
  <c r="Q35" i="4"/>
  <c r="P35" i="4"/>
  <c r="M35" i="4"/>
  <c r="L35" i="4"/>
  <c r="I35" i="4"/>
  <c r="H35" i="4"/>
  <c r="E35" i="4"/>
  <c r="D35" i="4"/>
  <c r="BA34" i="4"/>
  <c r="AY34" i="4"/>
  <c r="AX34" i="4"/>
  <c r="AZ34" i="4" s="1"/>
  <c r="AW34" i="4"/>
  <c r="AV34" i="4"/>
  <c r="AS34" i="4"/>
  <c r="AR34" i="4"/>
  <c r="AO34" i="4"/>
  <c r="AN34" i="4"/>
  <c r="AK34" i="4"/>
  <c r="AJ34" i="4"/>
  <c r="AG34" i="4"/>
  <c r="AF34" i="4"/>
  <c r="AC34" i="4"/>
  <c r="AB34" i="4"/>
  <c r="Y34" i="4"/>
  <c r="X34" i="4"/>
  <c r="U34" i="4"/>
  <c r="T34" i="4"/>
  <c r="Q34" i="4"/>
  <c r="P34" i="4"/>
  <c r="M34" i="4"/>
  <c r="L34" i="4"/>
  <c r="I34" i="4"/>
  <c r="H34" i="4"/>
  <c r="E34" i="4"/>
  <c r="D34" i="4"/>
  <c r="AY33" i="4"/>
  <c r="BA33" i="4" s="1"/>
  <c r="AW33" i="4"/>
  <c r="AV33" i="4"/>
  <c r="AS33" i="4"/>
  <c r="AR33" i="4"/>
  <c r="AO33" i="4"/>
  <c r="AN33" i="4"/>
  <c r="AK33" i="4"/>
  <c r="AJ33" i="4"/>
  <c r="AG33" i="4"/>
  <c r="AF33" i="4"/>
  <c r="AC33" i="4"/>
  <c r="AB33" i="4"/>
  <c r="Y33" i="4"/>
  <c r="X33" i="4"/>
  <c r="U33" i="4"/>
  <c r="T33" i="4"/>
  <c r="Q33" i="4"/>
  <c r="P33" i="4"/>
  <c r="M33" i="4"/>
  <c r="J33" i="4"/>
  <c r="L33" i="4" s="1"/>
  <c r="I33" i="4"/>
  <c r="F33" i="4"/>
  <c r="H33" i="4" s="1"/>
  <c r="E33" i="4"/>
  <c r="D33" i="4"/>
  <c r="B33" i="4"/>
  <c r="AX32" i="4"/>
  <c r="AU32" i="4"/>
  <c r="AS32" i="4"/>
  <c r="AR32" i="4"/>
  <c r="AQ32" i="4"/>
  <c r="AN32" i="4"/>
  <c r="AM32" i="4"/>
  <c r="AO32" i="4" s="1"/>
  <c r="AI32" i="4"/>
  <c r="AG32" i="4"/>
  <c r="AF32" i="4"/>
  <c r="AE32" i="4"/>
  <c r="AC32" i="4"/>
  <c r="AB32" i="4"/>
  <c r="AA32" i="4"/>
  <c r="Y32" i="4"/>
  <c r="X32" i="4"/>
  <c r="W32" i="4"/>
  <c r="S32" i="4"/>
  <c r="Q32" i="4"/>
  <c r="O32" i="4"/>
  <c r="P32" i="4" s="1"/>
  <c r="M32" i="4"/>
  <c r="K32" i="4"/>
  <c r="J32" i="4"/>
  <c r="L32" i="4" s="1"/>
  <c r="G32" i="4"/>
  <c r="I32" i="4" s="1"/>
  <c r="C32" i="4"/>
  <c r="E32" i="4" s="1"/>
  <c r="AX31" i="4"/>
  <c r="AW31" i="4"/>
  <c r="AU31" i="4"/>
  <c r="AV31" i="4" s="1"/>
  <c r="AS31" i="4"/>
  <c r="AQ31" i="4"/>
  <c r="AR31" i="4" s="1"/>
  <c r="AO31" i="4"/>
  <c r="AN31" i="4"/>
  <c r="AM31" i="4"/>
  <c r="AI31" i="4"/>
  <c r="AK31" i="4" s="1"/>
  <c r="AG31" i="4"/>
  <c r="AE31" i="4"/>
  <c r="AF31" i="4" s="1"/>
  <c r="AA31" i="4"/>
  <c r="Y31" i="4"/>
  <c r="X31" i="4"/>
  <c r="W31" i="4"/>
  <c r="U31" i="4"/>
  <c r="S31" i="4"/>
  <c r="T31" i="4" s="1"/>
  <c r="O31" i="4"/>
  <c r="M31" i="4"/>
  <c r="L31" i="4"/>
  <c r="K31" i="4"/>
  <c r="G31" i="4"/>
  <c r="E31" i="4"/>
  <c r="C31" i="4"/>
  <c r="AY31" i="4" s="1"/>
  <c r="BA31" i="4" s="1"/>
  <c r="AU30" i="4"/>
  <c r="AW30" i="4" s="1"/>
  <c r="AS30" i="4"/>
  <c r="AQ30" i="4"/>
  <c r="AR30" i="4" s="1"/>
  <c r="AM30" i="4"/>
  <c r="AK30" i="4"/>
  <c r="AJ30" i="4"/>
  <c r="AI30" i="4"/>
  <c r="AE30" i="4"/>
  <c r="AG30" i="4" s="1"/>
  <c r="AA30" i="4"/>
  <c r="AC30" i="4" s="1"/>
  <c r="Y30" i="4"/>
  <c r="X30" i="4"/>
  <c r="W30" i="4"/>
  <c r="S30" i="4"/>
  <c r="U30" i="4" s="1"/>
  <c r="O30" i="4"/>
  <c r="K30" i="4"/>
  <c r="J30" i="4"/>
  <c r="L30" i="4" s="1"/>
  <c r="I30" i="4"/>
  <c r="H30" i="4"/>
  <c r="G30" i="4"/>
  <c r="F30" i="4"/>
  <c r="E30" i="4"/>
  <c r="C30" i="4"/>
  <c r="B30" i="4"/>
  <c r="AT29" i="4"/>
  <c r="AV29" i="4" s="1"/>
  <c r="AR29" i="4"/>
  <c r="AP29" i="4"/>
  <c r="AN29" i="4"/>
  <c r="AM29" i="4"/>
  <c r="AO29" i="4" s="1"/>
  <c r="AL29" i="4"/>
  <c r="AH29" i="4"/>
  <c r="AD29" i="4"/>
  <c r="Z29" i="4"/>
  <c r="V29" i="4"/>
  <c r="S29" i="4"/>
  <c r="U29" i="4" s="1"/>
  <c r="R29" i="4"/>
  <c r="K29" i="4"/>
  <c r="J29" i="4"/>
  <c r="L29" i="4" s="1"/>
  <c r="F29" i="4"/>
  <c r="C29" i="4"/>
  <c r="E29" i="4" s="1"/>
  <c r="B29" i="4"/>
  <c r="AU28" i="4"/>
  <c r="AW28" i="4" s="1"/>
  <c r="AS28" i="4"/>
  <c r="AR28" i="4"/>
  <c r="AQ28" i="4"/>
  <c r="AQ29" i="4" s="1"/>
  <c r="AS29" i="4" s="1"/>
  <c r="AM28" i="4"/>
  <c r="AO28" i="4" s="1"/>
  <c r="AI28" i="4"/>
  <c r="AG28" i="4"/>
  <c r="AF28" i="4"/>
  <c r="AE28" i="4"/>
  <c r="AC28" i="4"/>
  <c r="AB28" i="4"/>
  <c r="AA28" i="4"/>
  <c r="Y28" i="4"/>
  <c r="X28" i="4"/>
  <c r="W28" i="4"/>
  <c r="T28" i="4"/>
  <c r="S28" i="4"/>
  <c r="U28" i="4" s="1"/>
  <c r="Q28" i="4"/>
  <c r="P28" i="4"/>
  <c r="O28" i="4"/>
  <c r="O29" i="4" s="1"/>
  <c r="N28" i="4"/>
  <c r="K28" i="4"/>
  <c r="J28" i="4"/>
  <c r="L28" i="4" s="1"/>
  <c r="G28" i="4"/>
  <c r="F28" i="4"/>
  <c r="H28" i="4" s="1"/>
  <c r="C28" i="4"/>
  <c r="B28" i="4"/>
  <c r="AX28" i="4" s="1"/>
  <c r="AU27" i="4"/>
  <c r="AU29" i="4" s="1"/>
  <c r="AS27" i="4"/>
  <c r="AR27" i="4"/>
  <c r="AQ27" i="4"/>
  <c r="AN27" i="4"/>
  <c r="AM27" i="4"/>
  <c r="AO27" i="4" s="1"/>
  <c r="AI27" i="4"/>
  <c r="AK27" i="4" s="1"/>
  <c r="AG27" i="4"/>
  <c r="AE27" i="4"/>
  <c r="AE29" i="4" s="1"/>
  <c r="AG29" i="4" s="1"/>
  <c r="AA27" i="4"/>
  <c r="W27" i="4"/>
  <c r="U27" i="4"/>
  <c r="T27" i="4"/>
  <c r="S27" i="4"/>
  <c r="O27" i="4"/>
  <c r="N27" i="4"/>
  <c r="AX27" i="4" s="1"/>
  <c r="M27" i="4"/>
  <c r="L27" i="4"/>
  <c r="K27" i="4"/>
  <c r="J27" i="4"/>
  <c r="G27" i="4"/>
  <c r="F27" i="4"/>
  <c r="H27" i="4" s="1"/>
  <c r="C27" i="4"/>
  <c r="B27" i="4"/>
  <c r="AY26" i="4"/>
  <c r="BA26" i="4" s="1"/>
  <c r="AX26" i="4"/>
  <c r="AZ26" i="4" s="1"/>
  <c r="AW26" i="4"/>
  <c r="AV26" i="4"/>
  <c r="AS26" i="4"/>
  <c r="AR26" i="4"/>
  <c r="AO26" i="4"/>
  <c r="AN26" i="4"/>
  <c r="AK26" i="4"/>
  <c r="AJ26" i="4"/>
  <c r="AG26" i="4"/>
  <c r="AF26" i="4"/>
  <c r="AC26" i="4"/>
  <c r="AB26" i="4"/>
  <c r="Y26" i="4"/>
  <c r="X26" i="4"/>
  <c r="U26" i="4"/>
  <c r="T26" i="4"/>
  <c r="Q26" i="4"/>
  <c r="P26" i="4"/>
  <c r="M26" i="4"/>
  <c r="L26" i="4"/>
  <c r="I26" i="4"/>
  <c r="H26" i="4"/>
  <c r="E26" i="4"/>
  <c r="D26" i="4"/>
  <c r="AW25" i="4"/>
  <c r="AU25" i="4"/>
  <c r="AT25" i="4"/>
  <c r="AV25" i="4" s="1"/>
  <c r="AP25" i="4"/>
  <c r="AL25" i="4"/>
  <c r="AH25" i="4"/>
  <c r="AD25" i="4"/>
  <c r="Z25" i="4"/>
  <c r="V25" i="4"/>
  <c r="R25" i="4"/>
  <c r="N25" i="4"/>
  <c r="J25" i="4"/>
  <c r="F25" i="4"/>
  <c r="AX24" i="4"/>
  <c r="AW24" i="4"/>
  <c r="AU24" i="4"/>
  <c r="AV24" i="4" s="1"/>
  <c r="AS24" i="4"/>
  <c r="AR24" i="4"/>
  <c r="AQ24" i="4"/>
  <c r="AM24" i="4"/>
  <c r="AI24" i="4"/>
  <c r="AK24" i="4" s="1"/>
  <c r="AG24" i="4"/>
  <c r="AE24" i="4"/>
  <c r="AF24" i="4" s="1"/>
  <c r="AA24" i="4"/>
  <c r="AC24" i="4" s="1"/>
  <c r="Y24" i="4"/>
  <c r="X24" i="4"/>
  <c r="W24" i="4"/>
  <c r="S24" i="4"/>
  <c r="O24" i="4"/>
  <c r="Q24" i="4" s="1"/>
  <c r="K24" i="4"/>
  <c r="I24" i="4"/>
  <c r="H24" i="4"/>
  <c r="G24" i="4"/>
  <c r="C24" i="4"/>
  <c r="AX23" i="4"/>
  <c r="AW23" i="4"/>
  <c r="AU23" i="4"/>
  <c r="AV23" i="4" s="1"/>
  <c r="AQ23" i="4"/>
  <c r="AS23" i="4" s="1"/>
  <c r="AO23" i="4"/>
  <c r="AN23" i="4"/>
  <c r="AM23" i="4"/>
  <c r="AI23" i="4"/>
  <c r="AK23" i="4" s="1"/>
  <c r="AE23" i="4"/>
  <c r="AA23" i="4"/>
  <c r="AB23" i="4" s="1"/>
  <c r="Y23" i="4"/>
  <c r="X23" i="4"/>
  <c r="W23" i="4"/>
  <c r="U23" i="4"/>
  <c r="T23" i="4"/>
  <c r="S23" i="4"/>
  <c r="Q23" i="4"/>
  <c r="O23" i="4"/>
  <c r="P23" i="4" s="1"/>
  <c r="M23" i="4"/>
  <c r="L23" i="4"/>
  <c r="K23" i="4"/>
  <c r="G23" i="4"/>
  <c r="C23" i="4"/>
  <c r="E23" i="4" s="1"/>
  <c r="AW22" i="4"/>
  <c r="AV22" i="4"/>
  <c r="AU22" i="4"/>
  <c r="AQ22" i="4"/>
  <c r="AR22" i="4" s="1"/>
  <c r="AO22" i="4"/>
  <c r="AN22" i="4"/>
  <c r="AM22" i="4"/>
  <c r="AJ22" i="4"/>
  <c r="AI22" i="4"/>
  <c r="AE22" i="4"/>
  <c r="AC22" i="4"/>
  <c r="AB22" i="4"/>
  <c r="AA22" i="4"/>
  <c r="X22" i="4"/>
  <c r="W22" i="4"/>
  <c r="U22" i="4"/>
  <c r="T22" i="4"/>
  <c r="S22" i="4"/>
  <c r="S25" i="4" s="1"/>
  <c r="O22" i="4"/>
  <c r="O25" i="4" s="1"/>
  <c r="N22" i="4"/>
  <c r="P22" i="4" s="1"/>
  <c r="K22" i="4"/>
  <c r="J22" i="4"/>
  <c r="L22" i="4" s="1"/>
  <c r="I22" i="4"/>
  <c r="G22" i="4"/>
  <c r="F22" i="4"/>
  <c r="H22" i="4" s="1"/>
  <c r="C22" i="4"/>
  <c r="E22" i="4" s="1"/>
  <c r="B22" i="4"/>
  <c r="D22" i="4" s="1"/>
  <c r="BA21" i="4"/>
  <c r="AY21" i="4"/>
  <c r="AW21" i="4"/>
  <c r="AV21" i="4"/>
  <c r="AS21" i="4"/>
  <c r="AR21" i="4"/>
  <c r="AO21" i="4"/>
  <c r="AN21" i="4"/>
  <c r="AK21" i="4"/>
  <c r="AJ21" i="4"/>
  <c r="AG21" i="4"/>
  <c r="AF21" i="4"/>
  <c r="AC21" i="4"/>
  <c r="AB21" i="4"/>
  <c r="Y21" i="4"/>
  <c r="X21" i="4"/>
  <c r="U21" i="4"/>
  <c r="T21" i="4"/>
  <c r="Q21" i="4"/>
  <c r="P21" i="4"/>
  <c r="N21" i="4"/>
  <c r="M21" i="4"/>
  <c r="J21" i="4"/>
  <c r="L21" i="4" s="1"/>
  <c r="I21" i="4"/>
  <c r="H21" i="4"/>
  <c r="F21" i="4"/>
  <c r="E21" i="4"/>
  <c r="B21" i="4"/>
  <c r="D21" i="4" s="1"/>
  <c r="BA20" i="4"/>
  <c r="AZ20" i="4"/>
  <c r="AY20" i="4"/>
  <c r="AX20" i="4"/>
  <c r="AW20" i="4"/>
  <c r="AV20" i="4"/>
  <c r="AS20" i="4"/>
  <c r="AR20" i="4"/>
  <c r="AO20" i="4"/>
  <c r="AN20" i="4"/>
  <c r="AK20" i="4"/>
  <c r="AJ20" i="4"/>
  <c r="AG20" i="4"/>
  <c r="AF20" i="4"/>
  <c r="AC20" i="4"/>
  <c r="AB20" i="4"/>
  <c r="Y20" i="4"/>
  <c r="X20" i="4"/>
  <c r="U20" i="4"/>
  <c r="T20" i="4"/>
  <c r="Q20" i="4"/>
  <c r="P20" i="4"/>
  <c r="M20" i="4"/>
  <c r="L20" i="4"/>
  <c r="I20" i="4"/>
  <c r="H20" i="4"/>
  <c r="E20" i="4"/>
  <c r="D20" i="4"/>
  <c r="AL18" i="4"/>
  <c r="AD17" i="4"/>
  <c r="Z17" i="4"/>
  <c r="AU16" i="4"/>
  <c r="AQ16" i="4"/>
  <c r="AR16" i="4" s="1"/>
  <c r="AM16" i="4"/>
  <c r="AN16" i="4" s="1"/>
  <c r="AK16" i="4"/>
  <c r="AI16" i="4"/>
  <c r="AJ16" i="4" s="1"/>
  <c r="AG16" i="4"/>
  <c r="AF16" i="4"/>
  <c r="AE16" i="4"/>
  <c r="AB16" i="4"/>
  <c r="AA16" i="4"/>
  <c r="AC16" i="4" s="1"/>
  <c r="Y16" i="4"/>
  <c r="X16" i="4"/>
  <c r="W16" i="4"/>
  <c r="S16" i="4"/>
  <c r="O16" i="4"/>
  <c r="P16" i="4" s="1"/>
  <c r="K16" i="4"/>
  <c r="AY16" i="4" s="1"/>
  <c r="J16" i="4"/>
  <c r="L16" i="4" s="1"/>
  <c r="I16" i="4"/>
  <c r="G16" i="4"/>
  <c r="H16" i="4" s="1"/>
  <c r="F16" i="4"/>
  <c r="C16" i="4"/>
  <c r="B16" i="4"/>
  <c r="D16" i="4" s="1"/>
  <c r="AV15" i="4"/>
  <c r="AU15" i="4"/>
  <c r="AW15" i="4" s="1"/>
  <c r="AQ15" i="4"/>
  <c r="AO15" i="4"/>
  <c r="AN15" i="4"/>
  <c r="AM15" i="4"/>
  <c r="AK15" i="4"/>
  <c r="AJ15" i="4"/>
  <c r="AI15" i="4"/>
  <c r="AE15" i="4"/>
  <c r="AG15" i="4" s="1"/>
  <c r="AC15" i="4"/>
  <c r="AB15" i="4"/>
  <c r="AA15" i="4"/>
  <c r="W15" i="4"/>
  <c r="Y15" i="4" s="1"/>
  <c r="S15" i="4"/>
  <c r="U15" i="4" s="1"/>
  <c r="P15" i="4"/>
  <c r="O15" i="4"/>
  <c r="Q15" i="4" s="1"/>
  <c r="K15" i="4"/>
  <c r="M15" i="4" s="1"/>
  <c r="J15" i="4"/>
  <c r="G15" i="4"/>
  <c r="F15" i="4"/>
  <c r="E15" i="4"/>
  <c r="C15" i="4"/>
  <c r="B15" i="4"/>
  <c r="AU14" i="4"/>
  <c r="AW14" i="4" s="1"/>
  <c r="AS14" i="4"/>
  <c r="AR14" i="4"/>
  <c r="AQ14" i="4"/>
  <c r="AO14" i="4"/>
  <c r="AN14" i="4"/>
  <c r="AM14" i="4"/>
  <c r="AI14" i="4"/>
  <c r="AG14" i="4"/>
  <c r="AF14" i="4"/>
  <c r="AE14" i="4"/>
  <c r="AA14" i="4"/>
  <c r="AC14" i="4" s="1"/>
  <c r="W14" i="4"/>
  <c r="X14" i="4" s="1"/>
  <c r="S14" i="4"/>
  <c r="T14" i="4" s="1"/>
  <c r="O14" i="4"/>
  <c r="Q14" i="4" s="1"/>
  <c r="M14" i="4"/>
  <c r="K14" i="4"/>
  <c r="J14" i="4"/>
  <c r="L14" i="4" s="1"/>
  <c r="G14" i="4"/>
  <c r="I14" i="4" s="1"/>
  <c r="F14" i="4"/>
  <c r="AX14" i="4" s="1"/>
  <c r="D14" i="4"/>
  <c r="C14" i="4"/>
  <c r="B14" i="4"/>
  <c r="AX13" i="4"/>
  <c r="AU13" i="4"/>
  <c r="AV13" i="4" s="1"/>
  <c r="AS13" i="4"/>
  <c r="AR13" i="4"/>
  <c r="AQ13" i="4"/>
  <c r="AM13" i="4"/>
  <c r="AO13" i="4" s="1"/>
  <c r="AK13" i="4"/>
  <c r="AJ13" i="4"/>
  <c r="AI13" i="4"/>
  <c r="AF13" i="4"/>
  <c r="AE13" i="4"/>
  <c r="AG13" i="4" s="1"/>
  <c r="AC13" i="4"/>
  <c r="AA13" i="4"/>
  <c r="AB13" i="4" s="1"/>
  <c r="W13" i="4"/>
  <c r="Y13" i="4" s="1"/>
  <c r="U13" i="4"/>
  <c r="T13" i="4"/>
  <c r="S13" i="4"/>
  <c r="Q13" i="4"/>
  <c r="O13" i="4"/>
  <c r="P13" i="4" s="1"/>
  <c r="M13" i="4"/>
  <c r="L13" i="4"/>
  <c r="K13" i="4"/>
  <c r="J13" i="4"/>
  <c r="G13" i="4"/>
  <c r="I13" i="4" s="1"/>
  <c r="F13" i="4"/>
  <c r="H13" i="4" s="1"/>
  <c r="E13" i="4"/>
  <c r="C13" i="4"/>
  <c r="D13" i="4" s="1"/>
  <c r="B13" i="4"/>
  <c r="AW12" i="4"/>
  <c r="AV12" i="4"/>
  <c r="AU12" i="4"/>
  <c r="AQ12" i="4"/>
  <c r="AS12" i="4" s="1"/>
  <c r="AM12" i="4"/>
  <c r="AO12" i="4" s="1"/>
  <c r="AK12" i="4"/>
  <c r="AJ12" i="4"/>
  <c r="AI12" i="4"/>
  <c r="AE12" i="4"/>
  <c r="AG12" i="4" s="1"/>
  <c r="AC12" i="4"/>
  <c r="AA12" i="4"/>
  <c r="AB12" i="4" s="1"/>
  <c r="X12" i="4"/>
  <c r="W12" i="4"/>
  <c r="Y12" i="4" s="1"/>
  <c r="U12" i="4"/>
  <c r="T12" i="4"/>
  <c r="S12" i="4"/>
  <c r="O12" i="4"/>
  <c r="Q12" i="4" s="1"/>
  <c r="K12" i="4"/>
  <c r="M12" i="4" s="1"/>
  <c r="J12" i="4"/>
  <c r="I12" i="4"/>
  <c r="H12" i="4"/>
  <c r="G12" i="4"/>
  <c r="F12" i="4"/>
  <c r="E12" i="4"/>
  <c r="C12" i="4"/>
  <c r="B12" i="4"/>
  <c r="D12" i="4" s="1"/>
  <c r="AT11" i="4"/>
  <c r="AT17" i="4" s="1"/>
  <c r="AT18" i="4" s="1"/>
  <c r="AP11" i="4"/>
  <c r="AP17" i="4" s="1"/>
  <c r="AO11" i="4"/>
  <c r="AM11" i="4"/>
  <c r="AL11" i="4"/>
  <c r="AL17" i="4" s="1"/>
  <c r="AH11" i="4"/>
  <c r="AH17" i="4" s="1"/>
  <c r="AD11" i="4"/>
  <c r="Z11" i="4"/>
  <c r="V11" i="4"/>
  <c r="S11" i="4"/>
  <c r="S17" i="4" s="1"/>
  <c r="R11" i="4"/>
  <c r="T11" i="4" s="1"/>
  <c r="Q11" i="4"/>
  <c r="O11" i="4"/>
  <c r="N11" i="4"/>
  <c r="N17" i="4" s="1"/>
  <c r="J11" i="4"/>
  <c r="B11" i="4"/>
  <c r="AU10" i="4"/>
  <c r="AW10" i="4" s="1"/>
  <c r="AS10" i="4"/>
  <c r="AR10" i="4"/>
  <c r="AQ10" i="4"/>
  <c r="AO10" i="4"/>
  <c r="AN10" i="4"/>
  <c r="AM10" i="4"/>
  <c r="AK10" i="4"/>
  <c r="AI10" i="4"/>
  <c r="AJ10" i="4" s="1"/>
  <c r="AE10" i="4"/>
  <c r="AG10" i="4" s="1"/>
  <c r="AC10" i="4"/>
  <c r="AA10" i="4"/>
  <c r="AB10" i="4" s="1"/>
  <c r="W10" i="4"/>
  <c r="S10" i="4"/>
  <c r="T10" i="4" s="1"/>
  <c r="Q10" i="4"/>
  <c r="O10" i="4"/>
  <c r="P10" i="4" s="1"/>
  <c r="K10" i="4"/>
  <c r="G10" i="4"/>
  <c r="AY10" i="4" s="1"/>
  <c r="F10" i="4"/>
  <c r="F11" i="4" s="1"/>
  <c r="C10" i="4"/>
  <c r="E10" i="4" s="1"/>
  <c r="AX9" i="4"/>
  <c r="AU9" i="4"/>
  <c r="AQ9" i="4"/>
  <c r="AQ11" i="4" s="1"/>
  <c r="AM9" i="4"/>
  <c r="AI9" i="4"/>
  <c r="AG9" i="4"/>
  <c r="AF9" i="4"/>
  <c r="AE9" i="4"/>
  <c r="AE11" i="4" s="1"/>
  <c r="AA9" i="4"/>
  <c r="Y9" i="4"/>
  <c r="W9" i="4"/>
  <c r="X9" i="4" s="1"/>
  <c r="S9" i="4"/>
  <c r="T9" i="4" s="1"/>
  <c r="Q9" i="4"/>
  <c r="P9" i="4"/>
  <c r="O9" i="4"/>
  <c r="L9" i="4"/>
  <c r="K9" i="4"/>
  <c r="M9" i="4" s="1"/>
  <c r="G9" i="4"/>
  <c r="C9" i="4"/>
  <c r="E9" i="4" s="1"/>
  <c r="AY8" i="4"/>
  <c r="BA8" i="4" s="1"/>
  <c r="AX8" i="4"/>
  <c r="AZ8" i="4" s="1"/>
  <c r="AW8" i="4"/>
  <c r="AV8" i="4"/>
  <c r="AS8" i="4"/>
  <c r="AR8" i="4"/>
  <c r="AO8" i="4"/>
  <c r="AN8" i="4"/>
  <c r="AK8" i="4"/>
  <c r="AJ8" i="4"/>
  <c r="AG8" i="4"/>
  <c r="AF8" i="4"/>
  <c r="AC8" i="4"/>
  <c r="AB8" i="4"/>
  <c r="Y8" i="4"/>
  <c r="X8" i="4"/>
  <c r="U8" i="4"/>
  <c r="T8" i="4"/>
  <c r="Q8" i="4"/>
  <c r="P8" i="4"/>
  <c r="M8" i="4"/>
  <c r="L8" i="4"/>
  <c r="I8" i="4"/>
  <c r="H8" i="4"/>
  <c r="E8" i="4"/>
  <c r="D8" i="4"/>
  <c r="I58" i="4" l="1"/>
  <c r="AB40" i="4"/>
  <c r="AQ17" i="4"/>
  <c r="AS11" i="4"/>
  <c r="S18" i="4"/>
  <c r="U17" i="4"/>
  <c r="AZ39" i="4"/>
  <c r="AZ13" i="4"/>
  <c r="Q46" i="4"/>
  <c r="O49" i="4"/>
  <c r="Q49" i="4" s="1"/>
  <c r="AC49" i="4"/>
  <c r="AB49" i="4"/>
  <c r="AB30" i="4"/>
  <c r="AO43" i="4"/>
  <c r="Y50" i="4"/>
  <c r="X50" i="4"/>
  <c r="AS58" i="4"/>
  <c r="AR58" i="4"/>
  <c r="AG60" i="4"/>
  <c r="AF60" i="4"/>
  <c r="AJ84" i="4"/>
  <c r="AO16" i="4"/>
  <c r="AC23" i="4"/>
  <c r="AR9" i="4"/>
  <c r="U11" i="4"/>
  <c r="AG23" i="4"/>
  <c r="AF23" i="4"/>
  <c r="T25" i="4"/>
  <c r="R99" i="4"/>
  <c r="AW29" i="4"/>
  <c r="D38" i="4"/>
  <c r="H55" i="4"/>
  <c r="AG56" i="4"/>
  <c r="AY56" i="4"/>
  <c r="AV59" i="4"/>
  <c r="AW59" i="4"/>
  <c r="G70" i="4"/>
  <c r="I70" i="4" s="1"/>
  <c r="AY63" i="4"/>
  <c r="I63" i="4"/>
  <c r="D9" i="4"/>
  <c r="I55" i="4"/>
  <c r="M16" i="4"/>
  <c r="D29" i="4"/>
  <c r="AO49" i="4"/>
  <c r="E68" i="4"/>
  <c r="AY68" i="4"/>
  <c r="BA68" i="4" s="1"/>
  <c r="AV52" i="4"/>
  <c r="AX16" i="4"/>
  <c r="AZ16" i="4" s="1"/>
  <c r="AA25" i="4"/>
  <c r="AB25" i="4" s="1"/>
  <c r="AO53" i="4"/>
  <c r="AN53" i="4"/>
  <c r="AR12" i="4"/>
  <c r="R17" i="4"/>
  <c r="AU51" i="4"/>
  <c r="Q43" i="4"/>
  <c r="AR53" i="4"/>
  <c r="AV60" i="4"/>
  <c r="BA72" i="4"/>
  <c r="AW81" i="4"/>
  <c r="AK89" i="4"/>
  <c r="AI92" i="4"/>
  <c r="AK92" i="4" s="1"/>
  <c r="AZ91" i="4"/>
  <c r="AB96" i="4"/>
  <c r="AT99" i="4"/>
  <c r="H10" i="4"/>
  <c r="AN17" i="4"/>
  <c r="AV36" i="4"/>
  <c r="AJ89" i="4"/>
  <c r="I10" i="4"/>
  <c r="AV10" i="4"/>
  <c r="AM17" i="4"/>
  <c r="P12" i="4"/>
  <c r="AO24" i="4"/>
  <c r="AN24" i="4"/>
  <c r="AM25" i="4"/>
  <c r="AV27" i="4"/>
  <c r="AX33" i="4"/>
  <c r="AZ33" i="4" s="1"/>
  <c r="AW36" i="4"/>
  <c r="AJ46" i="4"/>
  <c r="U47" i="4"/>
  <c r="T47" i="4"/>
  <c r="AY48" i="4"/>
  <c r="BA48" i="4" s="1"/>
  <c r="L60" i="4"/>
  <c r="P64" i="4"/>
  <c r="E72" i="4"/>
  <c r="W84" i="4"/>
  <c r="Y84" i="4" s="1"/>
  <c r="Y80" i="4"/>
  <c r="L81" i="4"/>
  <c r="L91" i="4"/>
  <c r="AX95" i="4"/>
  <c r="AW13" i="4"/>
  <c r="Q31" i="4"/>
  <c r="P31" i="4"/>
  <c r="Y40" i="4"/>
  <c r="AY55" i="4"/>
  <c r="E55" i="4"/>
  <c r="C58" i="4"/>
  <c r="AY13" i="4"/>
  <c r="BA13" i="4" s="1"/>
  <c r="AK14" i="4"/>
  <c r="AJ14" i="4"/>
  <c r="Y44" i="4"/>
  <c r="X44" i="4"/>
  <c r="AS9" i="4"/>
  <c r="E38" i="4"/>
  <c r="AN12" i="4"/>
  <c r="AS16" i="4"/>
  <c r="U75" i="4"/>
  <c r="S77" i="4"/>
  <c r="T75" i="4"/>
  <c r="AO84" i="4"/>
  <c r="I9" i="4"/>
  <c r="H9" i="4"/>
  <c r="G11" i="4"/>
  <c r="AY60" i="4"/>
  <c r="E60" i="4"/>
  <c r="AY12" i="4"/>
  <c r="BA12" i="4" s="1"/>
  <c r="AX21" i="4"/>
  <c r="AZ21" i="4" s="1"/>
  <c r="B25" i="4"/>
  <c r="P73" i="4"/>
  <c r="Q16" i="4"/>
  <c r="AY73" i="4"/>
  <c r="BA73" i="4" s="1"/>
  <c r="I81" i="4"/>
  <c r="AY81" i="4"/>
  <c r="G84" i="4"/>
  <c r="AR83" i="4"/>
  <c r="U16" i="4"/>
  <c r="T16" i="4"/>
  <c r="M29" i="4"/>
  <c r="E36" i="4"/>
  <c r="C40" i="4"/>
  <c r="AY36" i="4"/>
  <c r="BA36" i="4" s="1"/>
  <c r="M52" i="4"/>
  <c r="AY14" i="4"/>
  <c r="BA14" i="4" s="1"/>
  <c r="AJ24" i="4"/>
  <c r="H36" i="4"/>
  <c r="I36" i="4"/>
  <c r="F40" i="4"/>
  <c r="AW40" i="4"/>
  <c r="T43" i="4"/>
  <c r="U43" i="4"/>
  <c r="AZ48" i="4"/>
  <c r="D72" i="4"/>
  <c r="AF72" i="4"/>
  <c r="AN11" i="4"/>
  <c r="AY23" i="4"/>
  <c r="AW27" i="4"/>
  <c r="AX36" i="4"/>
  <c r="H39" i="4"/>
  <c r="AY39" i="4"/>
  <c r="BA39" i="4" s="1"/>
  <c r="AG43" i="4"/>
  <c r="AF43" i="4"/>
  <c r="F49" i="4"/>
  <c r="AX46" i="4"/>
  <c r="Y47" i="4"/>
  <c r="X47" i="4"/>
  <c r="AE58" i="4"/>
  <c r="AX65" i="4"/>
  <c r="AZ65" i="4" s="1"/>
  <c r="B70" i="4"/>
  <c r="D65" i="4"/>
  <c r="Q68" i="4"/>
  <c r="P68" i="4"/>
  <c r="M81" i="4"/>
  <c r="AB98" i="4"/>
  <c r="AV104" i="4"/>
  <c r="L97" i="4"/>
  <c r="J98" i="4"/>
  <c r="M97" i="4"/>
  <c r="K98" i="4"/>
  <c r="M98" i="4" s="1"/>
  <c r="AX10" i="4"/>
  <c r="AZ10" i="4" s="1"/>
  <c r="X29" i="4"/>
  <c r="G49" i="4"/>
  <c r="I49" i="4" s="1"/>
  <c r="AY46" i="4"/>
  <c r="BA46" i="4" s="1"/>
  <c r="AY65" i="4"/>
  <c r="E65" i="4"/>
  <c r="C70" i="4"/>
  <c r="Q81" i="4"/>
  <c r="P81" i="4"/>
  <c r="O84" i="4"/>
  <c r="Q84" i="4" s="1"/>
  <c r="U91" i="4"/>
  <c r="T91" i="4"/>
  <c r="AW98" i="4"/>
  <c r="D97" i="4"/>
  <c r="AX97" i="4"/>
  <c r="E97" i="4"/>
  <c r="AR52" i="4"/>
  <c r="AP18" i="4"/>
  <c r="U14" i="4"/>
  <c r="AS15" i="4"/>
  <c r="AR15" i="4"/>
  <c r="M30" i="4"/>
  <c r="D31" i="4"/>
  <c r="H46" i="4"/>
  <c r="T48" i="4"/>
  <c r="AR70" i="4"/>
  <c r="S84" i="4"/>
  <c r="U81" i="4"/>
  <c r="T81" i="4"/>
  <c r="X103" i="4"/>
  <c r="V104" i="4"/>
  <c r="AR97" i="4"/>
  <c r="P96" i="4"/>
  <c r="Y96" i="4"/>
  <c r="X96" i="4"/>
  <c r="AC9" i="4"/>
  <c r="AA11" i="4"/>
  <c r="Z18" i="4"/>
  <c r="AE25" i="4"/>
  <c r="E24" i="4"/>
  <c r="AY24" i="4"/>
  <c r="P27" i="4"/>
  <c r="Q27" i="4"/>
  <c r="N29" i="4"/>
  <c r="P29" i="4" s="1"/>
  <c r="AZ28" i="4"/>
  <c r="AF29" i="4"/>
  <c r="Q30" i="4"/>
  <c r="P30" i="4"/>
  <c r="B40" i="4"/>
  <c r="AI43" i="4"/>
  <c r="AK42" i="4"/>
  <c r="AJ42" i="4"/>
  <c r="AS49" i="4"/>
  <c r="AR49" i="4"/>
  <c r="Y64" i="4"/>
  <c r="X64" i="4"/>
  <c r="W70" i="4"/>
  <c r="Y70" i="4" s="1"/>
  <c r="AY89" i="4"/>
  <c r="BA89" i="4" s="1"/>
  <c r="E89" i="4"/>
  <c r="L92" i="4"/>
  <c r="Y103" i="4"/>
  <c r="W104" i="4"/>
  <c r="Y104" i="4" s="1"/>
  <c r="BA38" i="4"/>
  <c r="AK49" i="4"/>
  <c r="AY97" i="4"/>
  <c r="BA97" i="4" s="1"/>
  <c r="AK9" i="4"/>
  <c r="AJ9" i="4"/>
  <c r="AI11" i="4"/>
  <c r="X40" i="4"/>
  <c r="P46" i="4"/>
  <c r="P25" i="4"/>
  <c r="U44" i="4"/>
  <c r="M22" i="4"/>
  <c r="K25" i="4"/>
  <c r="Q25" i="4"/>
  <c r="AJ49" i="4"/>
  <c r="AH51" i="4"/>
  <c r="AR55" i="4"/>
  <c r="AJ68" i="4"/>
  <c r="C11" i="4"/>
  <c r="AY9" i="4"/>
  <c r="AS55" i="4"/>
  <c r="AJ60" i="4"/>
  <c r="AW67" i="4"/>
  <c r="AV67" i="4"/>
  <c r="V17" i="4"/>
  <c r="X11" i="4"/>
  <c r="AG53" i="4"/>
  <c r="AF53" i="4"/>
  <c r="AF56" i="4"/>
  <c r="X37" i="4"/>
  <c r="AG40" i="4"/>
  <c r="AF40" i="4"/>
  <c r="AE51" i="4"/>
  <c r="J17" i="4"/>
  <c r="AX12" i="4"/>
  <c r="Q22" i="4"/>
  <c r="Z99" i="4"/>
  <c r="I38" i="4"/>
  <c r="AX55" i="4"/>
  <c r="AZ55" i="4" s="1"/>
  <c r="AJ61" i="4"/>
  <c r="D68" i="4"/>
  <c r="AZ76" i="4"/>
  <c r="X13" i="4"/>
  <c r="AY22" i="4"/>
  <c r="AS39" i="4"/>
  <c r="AR39" i="4"/>
  <c r="AQ40" i="4"/>
  <c r="AW43" i="4"/>
  <c r="D48" i="4"/>
  <c r="L12" i="4"/>
  <c r="U55" i="4"/>
  <c r="T55" i="4"/>
  <c r="S58" i="4"/>
  <c r="U58" i="4" s="1"/>
  <c r="P17" i="4"/>
  <c r="N18" i="4"/>
  <c r="AJ29" i="4"/>
  <c r="AH99" i="4"/>
  <c r="I31" i="4"/>
  <c r="H31" i="4"/>
  <c r="AR46" i="4"/>
  <c r="X81" i="4"/>
  <c r="D90" i="4"/>
  <c r="Y91" i="4"/>
  <c r="AG11" i="4"/>
  <c r="AF11" i="4"/>
  <c r="AE17" i="4"/>
  <c r="U10" i="4"/>
  <c r="O17" i="4"/>
  <c r="Y14" i="4"/>
  <c r="I15" i="4"/>
  <c r="D28" i="4"/>
  <c r="AZ31" i="4"/>
  <c r="AK32" i="4"/>
  <c r="AJ32" i="4"/>
  <c r="S51" i="4"/>
  <c r="U51" i="4" s="1"/>
  <c r="U40" i="4"/>
  <c r="Q39" i="4"/>
  <c r="P39" i="4"/>
  <c r="AV44" i="4"/>
  <c r="AS46" i="4"/>
  <c r="X49" i="4"/>
  <c r="L65" i="4"/>
  <c r="M72" i="4"/>
  <c r="L72" i="4"/>
  <c r="U88" i="4"/>
  <c r="T88" i="4"/>
  <c r="E90" i="4"/>
  <c r="AC91" i="4"/>
  <c r="AB91" i="4"/>
  <c r="AN98" i="4"/>
  <c r="AX42" i="4"/>
  <c r="B43" i="4"/>
  <c r="D42" i="4"/>
  <c r="AF77" i="4"/>
  <c r="M24" i="4"/>
  <c r="L24" i="4"/>
  <c r="AF49" i="4"/>
  <c r="AD51" i="4"/>
  <c r="AF51" i="4" s="1"/>
  <c r="AS22" i="4"/>
  <c r="AQ25" i="4"/>
  <c r="B58" i="4"/>
  <c r="AB50" i="4"/>
  <c r="AC50" i="4"/>
  <c r="AQ98" i="4"/>
  <c r="AS94" i="4"/>
  <c r="AR94" i="4"/>
  <c r="H63" i="4"/>
  <c r="M43" i="4"/>
  <c r="M55" i="4"/>
  <c r="L55" i="4"/>
  <c r="K58" i="4"/>
  <c r="M58" i="4" s="1"/>
  <c r="AW16" i="4"/>
  <c r="AV16" i="4"/>
  <c r="AX22" i="4"/>
  <c r="AZ22" i="4" s="1"/>
  <c r="L67" i="4"/>
  <c r="AX67" i="4"/>
  <c r="AZ67" i="4" s="1"/>
  <c r="U70" i="4"/>
  <c r="BA82" i="4"/>
  <c r="H95" i="4"/>
  <c r="F98" i="4"/>
  <c r="H98" i="4" s="1"/>
  <c r="AS95" i="4"/>
  <c r="AY95" i="4"/>
  <c r="BA95" i="4" s="1"/>
  <c r="U25" i="4"/>
  <c r="H81" i="4"/>
  <c r="F84" i="4"/>
  <c r="H84" i="4" s="1"/>
  <c r="F17" i="4"/>
  <c r="AB9" i="4"/>
  <c r="AR11" i="4"/>
  <c r="H15" i="4"/>
  <c r="AX15" i="4"/>
  <c r="D24" i="4"/>
  <c r="AY28" i="4"/>
  <c r="BA28" i="4" s="1"/>
  <c r="E28" i="4"/>
  <c r="L46" i="4"/>
  <c r="J49" i="4"/>
  <c r="L49" i="4" s="1"/>
  <c r="AV70" i="4"/>
  <c r="D89" i="4"/>
  <c r="K92" i="4"/>
  <c r="M92" i="4" s="1"/>
  <c r="W11" i="4"/>
  <c r="Y10" i="4"/>
  <c r="X10" i="4"/>
  <c r="P11" i="4"/>
  <c r="L15" i="4"/>
  <c r="AD18" i="4"/>
  <c r="AF17" i="4"/>
  <c r="H25" i="4"/>
  <c r="X51" i="4"/>
  <c r="AZ44" i="4"/>
  <c r="M46" i="4"/>
  <c r="AW77" i="4"/>
  <c r="AV77" i="4"/>
  <c r="L84" i="4"/>
  <c r="AB84" i="4"/>
  <c r="AG91" i="4"/>
  <c r="AE92" i="4"/>
  <c r="AG92" i="4" s="1"/>
  <c r="AF91" i="4"/>
  <c r="L103" i="4"/>
  <c r="J104" i="4"/>
  <c r="L104" i="4" s="1"/>
  <c r="H104" i="4"/>
  <c r="Y27" i="4"/>
  <c r="X27" i="4"/>
  <c r="AK28" i="4"/>
  <c r="AJ28" i="4"/>
  <c r="AM40" i="4"/>
  <c r="AY42" i="4"/>
  <c r="BA42" i="4" s="1"/>
  <c r="I98" i="4"/>
  <c r="AY103" i="4"/>
  <c r="BA103" i="4" s="1"/>
  <c r="C104" i="4"/>
  <c r="AU11" i="4"/>
  <c r="AV11" i="4"/>
  <c r="U24" i="4"/>
  <c r="T24" i="4"/>
  <c r="AD99" i="4"/>
  <c r="AA29" i="4"/>
  <c r="AC29" i="4" s="1"/>
  <c r="AC27" i="4"/>
  <c r="I28" i="4"/>
  <c r="W29" i="4"/>
  <c r="Y29" i="4" s="1"/>
  <c r="AF30" i="4"/>
  <c r="D32" i="4"/>
  <c r="AF37" i="4"/>
  <c r="AN38" i="4"/>
  <c r="K70" i="4"/>
  <c r="M63" i="4"/>
  <c r="L63" i="4"/>
  <c r="H66" i="4"/>
  <c r="AY69" i="4"/>
  <c r="AF69" i="4"/>
  <c r="AW72" i="4"/>
  <c r="AV72" i="4"/>
  <c r="U76" i="4"/>
  <c r="T76" i="4"/>
  <c r="AR77" i="4"/>
  <c r="AX80" i="4"/>
  <c r="AZ80" i="4" s="1"/>
  <c r="D80" i="4"/>
  <c r="AB85" i="4"/>
  <c r="D103" i="4"/>
  <c r="AV9" i="4"/>
  <c r="H14" i="4"/>
  <c r="W25" i="4"/>
  <c r="Y22" i="4"/>
  <c r="D23" i="4"/>
  <c r="AB27" i="4"/>
  <c r="AX30" i="4"/>
  <c r="T36" i="4"/>
  <c r="X39" i="4"/>
  <c r="E42" i="4"/>
  <c r="AO42" i="4"/>
  <c r="AN42" i="4"/>
  <c r="X43" i="4"/>
  <c r="X48" i="4"/>
  <c r="H56" i="4"/>
  <c r="AS56" i="4"/>
  <c r="AR56" i="4"/>
  <c r="O70" i="4"/>
  <c r="D69" i="4"/>
  <c r="I71" i="4"/>
  <c r="AJ71" i="4"/>
  <c r="AY75" i="4"/>
  <c r="E75" i="4"/>
  <c r="C84" i="4"/>
  <c r="AY80" i="4"/>
  <c r="E80" i="4"/>
  <c r="X92" i="4"/>
  <c r="Y97" i="4"/>
  <c r="X97" i="4"/>
  <c r="E103" i="4"/>
  <c r="AV84" i="4"/>
  <c r="AW9" i="4"/>
  <c r="AF25" i="4"/>
  <c r="AY30" i="4"/>
  <c r="BA30" i="4" s="1"/>
  <c r="U36" i="4"/>
  <c r="AY37" i="4"/>
  <c r="BA37" i="4" s="1"/>
  <c r="AP51" i="4"/>
  <c r="AS42" i="4"/>
  <c r="AR42" i="4"/>
  <c r="Y65" i="4"/>
  <c r="X65" i="4"/>
  <c r="E69" i="4"/>
  <c r="H71" i="4"/>
  <c r="J77" i="4"/>
  <c r="L77" i="4" s="1"/>
  <c r="M90" i="4"/>
  <c r="L90" i="4"/>
  <c r="AX11" i="4"/>
  <c r="B17" i="4"/>
  <c r="I23" i="4"/>
  <c r="H23" i="4"/>
  <c r="C25" i="4"/>
  <c r="AF27" i="4"/>
  <c r="D30" i="4"/>
  <c r="AW32" i="4"/>
  <c r="AV32" i="4"/>
  <c r="D37" i="4"/>
  <c r="H42" i="4"/>
  <c r="E61" i="4"/>
  <c r="AY61" i="4"/>
  <c r="BA61" i="4" s="1"/>
  <c r="Q63" i="4"/>
  <c r="AA70" i="4"/>
  <c r="AC70" i="4" s="1"/>
  <c r="AC65" i="4"/>
  <c r="AX87" i="4"/>
  <c r="AZ87" i="4" s="1"/>
  <c r="F92" i="4"/>
  <c r="H87" i="4"/>
  <c r="Q90" i="4"/>
  <c r="O92" i="4"/>
  <c r="Q92" i="4" s="1"/>
  <c r="AZ90" i="4"/>
  <c r="AF92" i="4"/>
  <c r="AI98" i="4"/>
  <c r="AK98" i="4" s="1"/>
  <c r="U95" i="4"/>
  <c r="T95" i="4"/>
  <c r="AO30" i="4"/>
  <c r="AN30" i="4"/>
  <c r="AC31" i="4"/>
  <c r="AB31" i="4"/>
  <c r="AW38" i="4"/>
  <c r="AV38" i="4"/>
  <c r="C49" i="4"/>
  <c r="AY47" i="4"/>
  <c r="AY59" i="4"/>
  <c r="BA59" i="4" s="1"/>
  <c r="AK59" i="4"/>
  <c r="AJ59" i="4"/>
  <c r="AW61" i="4"/>
  <c r="AV61" i="4"/>
  <c r="AY66" i="4"/>
  <c r="BA66" i="4" s="1"/>
  <c r="AE70" i="4"/>
  <c r="AG70" i="4" s="1"/>
  <c r="AQ84" i="4"/>
  <c r="AS84" i="4" s="1"/>
  <c r="AS80" i="4"/>
  <c r="AR80" i="4"/>
  <c r="G92" i="4"/>
  <c r="I92" i="4" s="1"/>
  <c r="I87" i="4"/>
  <c r="AO88" i="4"/>
  <c r="AN88" i="4"/>
  <c r="B98" i="4"/>
  <c r="AX94" i="4"/>
  <c r="AB104" i="4"/>
  <c r="T15" i="4"/>
  <c r="AV28" i="4"/>
  <c r="AY32" i="4"/>
  <c r="BA32" i="4" s="1"/>
  <c r="I37" i="4"/>
  <c r="H37" i="4"/>
  <c r="G40" i="4"/>
  <c r="R51" i="4"/>
  <c r="M42" i="4"/>
  <c r="L42" i="4"/>
  <c r="AC43" i="4"/>
  <c r="D47" i="4"/>
  <c r="AG52" i="4"/>
  <c r="AF52" i="4"/>
  <c r="D59" i="4"/>
  <c r="AY67" i="4"/>
  <c r="E67" i="4"/>
  <c r="AS71" i="4"/>
  <c r="AR71" i="4"/>
  <c r="H73" i="4"/>
  <c r="AW75" i="4"/>
  <c r="AV75" i="4"/>
  <c r="AF76" i="4"/>
  <c r="P84" i="4"/>
  <c r="D85" i="4"/>
  <c r="E91" i="4"/>
  <c r="D91" i="4"/>
  <c r="E94" i="4"/>
  <c r="AY94" i="4"/>
  <c r="BA94" i="4" s="1"/>
  <c r="C98" i="4"/>
  <c r="AB24" i="4"/>
  <c r="AY27" i="4"/>
  <c r="BA27" i="4" s="1"/>
  <c r="U9" i="4"/>
  <c r="AF12" i="4"/>
  <c r="AG22" i="4"/>
  <c r="AF22" i="4"/>
  <c r="AR23" i="4"/>
  <c r="AC36" i="4"/>
  <c r="AB36" i="4"/>
  <c r="AA40" i="4"/>
  <c r="E47" i="4"/>
  <c r="E59" i="4"/>
  <c r="X60" i="4"/>
  <c r="M75" i="4"/>
  <c r="E88" i="4"/>
  <c r="D88" i="4"/>
  <c r="AB89" i="4"/>
  <c r="D94" i="4"/>
  <c r="AH18" i="4"/>
  <c r="AN13" i="4"/>
  <c r="P14" i="4"/>
  <c r="AV14" i="4"/>
  <c r="X15" i="4"/>
  <c r="G25" i="4"/>
  <c r="E27" i="4"/>
  <c r="U32" i="4"/>
  <c r="T32" i="4"/>
  <c r="T40" i="4"/>
  <c r="P42" i="4"/>
  <c r="H44" i="4"/>
  <c r="AJ44" i="4"/>
  <c r="H47" i="4"/>
  <c r="AX47" i="4"/>
  <c r="AZ47" i="4" s="1"/>
  <c r="AW49" i="4"/>
  <c r="AV49" i="4"/>
  <c r="AW50" i="4"/>
  <c r="AV50" i="4"/>
  <c r="AC58" i="4"/>
  <c r="AO59" i="4"/>
  <c r="H64" i="4"/>
  <c r="AJ65" i="4"/>
  <c r="AR67" i="4"/>
  <c r="AV71" i="4"/>
  <c r="D81" i="4"/>
  <c r="E81" i="4"/>
  <c r="AX81" i="4"/>
  <c r="AZ81" i="4" s="1"/>
  <c r="AN81" i="4"/>
  <c r="AJ97" i="4"/>
  <c r="AF10" i="4"/>
  <c r="E16" i="4"/>
  <c r="D27" i="4"/>
  <c r="T38" i="4"/>
  <c r="AT51" i="4"/>
  <c r="AV51" i="4" s="1"/>
  <c r="M61" i="4"/>
  <c r="L61" i="4"/>
  <c r="D67" i="4"/>
  <c r="AB68" i="4"/>
  <c r="M87" i="4"/>
  <c r="U98" i="4"/>
  <c r="D10" i="4"/>
  <c r="AV30" i="4"/>
  <c r="AJ31" i="4"/>
  <c r="AF36" i="4"/>
  <c r="AV40" i="4"/>
  <c r="C43" i="4"/>
  <c r="AF46" i="4"/>
  <c r="H59" i="4"/>
  <c r="AS59" i="4"/>
  <c r="AR59" i="4"/>
  <c r="AF63" i="4"/>
  <c r="P71" i="4"/>
  <c r="AR73" i="4"/>
  <c r="S92" i="4"/>
  <c r="U92" i="4" s="1"/>
  <c r="AG89" i="4"/>
  <c r="AF89" i="4"/>
  <c r="AW53" i="4"/>
  <c r="AV53" i="4"/>
  <c r="W58" i="4"/>
  <c r="Y58" i="4" s="1"/>
  <c r="D56" i="4"/>
  <c r="AX56" i="4"/>
  <c r="AZ56" i="4" s="1"/>
  <c r="U63" i="4"/>
  <c r="T63" i="4"/>
  <c r="M67" i="4"/>
  <c r="AK80" i="4"/>
  <c r="AI84" i="4"/>
  <c r="AK84" i="4" s="1"/>
  <c r="AJ80" i="4"/>
  <c r="Q97" i="4"/>
  <c r="P97" i="4"/>
  <c r="AI29" i="4"/>
  <c r="AK29" i="4" s="1"/>
  <c r="D36" i="4"/>
  <c r="AF48" i="4"/>
  <c r="E56" i="4"/>
  <c r="AZ59" i="4"/>
  <c r="AR69" i="4"/>
  <c r="AB70" i="4"/>
  <c r="E83" i="4"/>
  <c r="D83" i="4"/>
  <c r="AY83" i="4"/>
  <c r="B92" i="4"/>
  <c r="AX89" i="4"/>
  <c r="U97" i="4"/>
  <c r="T97" i="4"/>
  <c r="AE98" i="4"/>
  <c r="AJ103" i="4"/>
  <c r="U94" i="4"/>
  <c r="T94" i="4"/>
  <c r="AC90" i="4"/>
  <c r="AB90" i="4"/>
  <c r="AO91" i="4"/>
  <c r="AN91" i="4"/>
  <c r="W98" i="4"/>
  <c r="AC95" i="4"/>
  <c r="AB95" i="4"/>
  <c r="X94" i="4"/>
  <c r="AN96" i="4"/>
  <c r="AN103" i="4"/>
  <c r="L58" i="4"/>
  <c r="J70" i="4"/>
  <c r="L70" i="4" s="1"/>
  <c r="AG75" i="4"/>
  <c r="AF75" i="4"/>
  <c r="AE77" i="4"/>
  <c r="AG77" i="4" s="1"/>
  <c r="M83" i="4"/>
  <c r="L83" i="4"/>
  <c r="I89" i="4"/>
  <c r="H89" i="4"/>
  <c r="M10" i="4"/>
  <c r="L10" i="4"/>
  <c r="K11" i="4"/>
  <c r="V99" i="4"/>
  <c r="G29" i="4"/>
  <c r="I29" i="4" s="1"/>
  <c r="AJ27" i="4"/>
  <c r="AN28" i="4"/>
  <c r="AN36" i="4"/>
  <c r="AF39" i="4"/>
  <c r="J40" i="4"/>
  <c r="AN48" i="4"/>
  <c r="AS64" i="4"/>
  <c r="AR64" i="4"/>
  <c r="AS85" i="4"/>
  <c r="AR85" i="4"/>
  <c r="AB88" i="4"/>
  <c r="AR89" i="4"/>
  <c r="AF90" i="4"/>
  <c r="Y94" i="4"/>
  <c r="AF95" i="4"/>
  <c r="I96" i="4"/>
  <c r="AO103" i="4"/>
  <c r="AU84" i="4"/>
  <c r="AW84" i="4" s="1"/>
  <c r="AW80" i="4"/>
  <c r="AU92" i="4"/>
  <c r="AB14" i="4"/>
  <c r="AY15" i="4"/>
  <c r="BA15" i="4" s="1"/>
  <c r="AJ23" i="4"/>
  <c r="P24" i="4"/>
  <c r="T30" i="4"/>
  <c r="H32" i="4"/>
  <c r="M36" i="4"/>
  <c r="AV37" i="4"/>
  <c r="K40" i="4"/>
  <c r="AB42" i="4"/>
  <c r="AC47" i="4"/>
  <c r="AB47" i="4"/>
  <c r="L48" i="4"/>
  <c r="AX52" i="4"/>
  <c r="AZ52" i="4" s="1"/>
  <c r="T53" i="4"/>
  <c r="P58" i="4"/>
  <c r="L64" i="4"/>
  <c r="AU70" i="4"/>
  <c r="AW70" i="4" s="1"/>
  <c r="AF65" i="4"/>
  <c r="M66" i="4"/>
  <c r="AN66" i="4"/>
  <c r="H68" i="4"/>
  <c r="AY76" i="4"/>
  <c r="BA76" i="4" s="1"/>
  <c r="M80" i="4"/>
  <c r="P83" i="4"/>
  <c r="AE84" i="4"/>
  <c r="AG84" i="4" s="1"/>
  <c r="AW87" i="4"/>
  <c r="L89" i="4"/>
  <c r="AS89" i="4"/>
  <c r="AA98" i="4"/>
  <c r="AC98" i="4" s="1"/>
  <c r="AM98" i="4"/>
  <c r="AO98" i="4" s="1"/>
  <c r="AS92" i="4"/>
  <c r="AR92" i="4"/>
  <c r="AO9" i="4"/>
  <c r="AN9" i="4"/>
  <c r="E14" i="4"/>
  <c r="D15" i="4"/>
  <c r="AF15" i="4"/>
  <c r="AI25" i="4"/>
  <c r="AK22" i="4"/>
  <c r="X25" i="4"/>
  <c r="I27" i="4"/>
  <c r="M28" i="4"/>
  <c r="T29" i="4"/>
  <c r="AK39" i="4"/>
  <c r="AJ39" i="4"/>
  <c r="AL51" i="4"/>
  <c r="AF50" i="4"/>
  <c r="AY52" i="4"/>
  <c r="P56" i="4"/>
  <c r="O58" i="4"/>
  <c r="Q58" i="4" s="1"/>
  <c r="AC61" i="4"/>
  <c r="AB61" i="4"/>
  <c r="AM70" i="4"/>
  <c r="AV64" i="4"/>
  <c r="L66" i="4"/>
  <c r="B77" i="4"/>
  <c r="AX75" i="4"/>
  <c r="AZ75" i="4" s="1"/>
  <c r="D75" i="4"/>
  <c r="AO77" i="4"/>
  <c r="Q80" i="4"/>
  <c r="P80" i="4"/>
  <c r="AF81" i="4"/>
  <c r="Q87" i="4"/>
  <c r="P87" i="4"/>
  <c r="AB94" i="4"/>
  <c r="E95" i="4"/>
  <c r="D95" i="4"/>
  <c r="AI40" i="4"/>
  <c r="AY44" i="4"/>
  <c r="BA44" i="4" s="1"/>
  <c r="S49" i="4"/>
  <c r="U52" i="4"/>
  <c r="T52" i="4"/>
  <c r="AC67" i="4"/>
  <c r="AB67" i="4"/>
  <c r="AO72" i="4"/>
  <c r="AN72" i="4"/>
  <c r="H77" i="4"/>
  <c r="AX82" i="4"/>
  <c r="AZ82" i="4" s="1"/>
  <c r="Y87" i="4"/>
  <c r="X87" i="4"/>
  <c r="AG88" i="4"/>
  <c r="AF88" i="4"/>
  <c r="AW89" i="4"/>
  <c r="AV89" i="4"/>
  <c r="AY50" i="4"/>
  <c r="Y52" i="4"/>
  <c r="X52" i="4"/>
  <c r="O77" i="4"/>
  <c r="Q77" i="4" s="1"/>
  <c r="AC76" i="4"/>
  <c r="AB76" i="4"/>
  <c r="AA92" i="4"/>
  <c r="H60" i="4"/>
  <c r="AX60" i="4"/>
  <c r="AZ60" i="4" s="1"/>
  <c r="AO60" i="4"/>
  <c r="AN60" i="4"/>
  <c r="Y63" i="4"/>
  <c r="X63" i="4"/>
  <c r="AX96" i="4"/>
  <c r="AZ96" i="4" s="1"/>
  <c r="AG96" i="4"/>
  <c r="AF96" i="4"/>
  <c r="O40" i="4"/>
  <c r="F58" i="4"/>
  <c r="H58" i="4" s="1"/>
  <c r="AX57" i="4"/>
  <c r="AZ57" i="4" s="1"/>
  <c r="AC63" i="4"/>
  <c r="AB63" i="4"/>
  <c r="AO67" i="4"/>
  <c r="AN67" i="4"/>
  <c r="U83" i="4"/>
  <c r="T83" i="4"/>
  <c r="L88" i="4"/>
  <c r="Q91" i="4"/>
  <c r="P91" i="4"/>
  <c r="AY96" i="4"/>
  <c r="AY64" i="4"/>
  <c r="BA64" i="4" s="1"/>
  <c r="AK95" i="4"/>
  <c r="AJ95" i="4"/>
  <c r="Y53" i="4"/>
  <c r="X53" i="4"/>
  <c r="T67" i="4"/>
  <c r="Y75" i="4"/>
  <c r="X75" i="4"/>
  <c r="E76" i="4"/>
  <c r="AJ85" i="4"/>
  <c r="AY87" i="4"/>
  <c r="AO89" i="4"/>
  <c r="AN89" i="4"/>
  <c r="U90" i="4"/>
  <c r="T90" i="4"/>
  <c r="AX103" i="4"/>
  <c r="K49" i="4"/>
  <c r="Q50" i="4"/>
  <c r="P50" i="4"/>
  <c r="AI70" i="4"/>
  <c r="Q65" i="4"/>
  <c r="P65" i="4"/>
  <c r="AY71" i="4"/>
  <c r="BA71" i="4" s="1"/>
  <c r="AI77" i="4"/>
  <c r="AK77" i="4" s="1"/>
  <c r="P77" i="4"/>
  <c r="AR84" i="4"/>
  <c r="M94" i="4"/>
  <c r="AC97" i="4"/>
  <c r="AB97" i="4"/>
  <c r="B104" i="4"/>
  <c r="AN47" i="4"/>
  <c r="E53" i="4"/>
  <c r="AY53" i="4"/>
  <c r="AJ63" i="4"/>
  <c r="AJ75" i="4"/>
  <c r="AV83" i="4"/>
  <c r="O98" i="4"/>
  <c r="Q98" i="4" s="1"/>
  <c r="AM58" i="4"/>
  <c r="AO58" i="4" s="1"/>
  <c r="BA55" i="4" l="1"/>
  <c r="H92" i="4"/>
  <c r="AZ42" i="4"/>
  <c r="AG51" i="4"/>
  <c r="M25" i="4"/>
  <c r="Z100" i="4"/>
  <c r="AN51" i="4"/>
  <c r="AL99" i="4"/>
  <c r="AX92" i="4"/>
  <c r="D92" i="4"/>
  <c r="AH100" i="4"/>
  <c r="AY98" i="4"/>
  <c r="E98" i="4"/>
  <c r="C99" i="4"/>
  <c r="E25" i="4"/>
  <c r="AY25" i="4"/>
  <c r="BA25" i="4" s="1"/>
  <c r="C17" i="4"/>
  <c r="E11" i="4"/>
  <c r="D11" i="4"/>
  <c r="AY11" i="4"/>
  <c r="BA11" i="4" s="1"/>
  <c r="AG58" i="4"/>
  <c r="AF58" i="4"/>
  <c r="AJ98" i="4"/>
  <c r="AF84" i="4"/>
  <c r="AK70" i="4"/>
  <c r="AJ70" i="4"/>
  <c r="AZ15" i="4"/>
  <c r="AG25" i="4"/>
  <c r="AE99" i="4"/>
  <c r="AG99" i="4" s="1"/>
  <c r="T51" i="4"/>
  <c r="N100" i="4"/>
  <c r="P18" i="4"/>
  <c r="X99" i="4"/>
  <c r="T84" i="4"/>
  <c r="U84" i="4"/>
  <c r="E70" i="4"/>
  <c r="AY70" i="4"/>
  <c r="D25" i="4"/>
  <c r="AX25" i="4"/>
  <c r="AW11" i="4"/>
  <c r="AU17" i="4"/>
  <c r="AZ71" i="4"/>
  <c r="AZ11" i="4"/>
  <c r="X98" i="4"/>
  <c r="Y98" i="4"/>
  <c r="I40" i="4"/>
  <c r="G51" i="4"/>
  <c r="I51" i="4" s="1"/>
  <c r="J18" i="4"/>
  <c r="L17" i="4"/>
  <c r="AZ103" i="4"/>
  <c r="AZ30" i="4"/>
  <c r="AD100" i="4"/>
  <c r="AF18" i="4"/>
  <c r="AC11" i="4"/>
  <c r="AB11" i="4"/>
  <c r="AA17" i="4"/>
  <c r="AS17" i="4"/>
  <c r="AQ18" i="4"/>
  <c r="AB92" i="4"/>
  <c r="AC92" i="4"/>
  <c r="P49" i="4"/>
  <c r="P92" i="4"/>
  <c r="M77" i="4"/>
  <c r="AR17" i="4"/>
  <c r="AY40" i="4"/>
  <c r="C51" i="4"/>
  <c r="E40" i="4"/>
  <c r="Q29" i="4"/>
  <c r="AY84" i="4"/>
  <c r="E84" i="4"/>
  <c r="M70" i="4"/>
  <c r="AO25" i="4"/>
  <c r="AM99" i="4"/>
  <c r="AO99" i="4" s="1"/>
  <c r="BA53" i="4"/>
  <c r="AZ53" i="4"/>
  <c r="AN58" i="4"/>
  <c r="AN70" i="4"/>
  <c r="AO70" i="4"/>
  <c r="AC40" i="4"/>
  <c r="AA51" i="4"/>
  <c r="AN25" i="4"/>
  <c r="BA47" i="4"/>
  <c r="AT100" i="4"/>
  <c r="N99" i="4"/>
  <c r="H29" i="4"/>
  <c r="AZ36" i="4"/>
  <c r="U77" i="4"/>
  <c r="T77" i="4"/>
  <c r="L25" i="4"/>
  <c r="AW51" i="4"/>
  <c r="AZ27" i="4"/>
  <c r="AY49" i="4"/>
  <c r="BA49" i="4" s="1"/>
  <c r="E49" i="4"/>
  <c r="D49" i="4"/>
  <c r="BA75" i="4"/>
  <c r="W99" i="4"/>
  <c r="Y99" i="4" s="1"/>
  <c r="Y25" i="4"/>
  <c r="S99" i="4"/>
  <c r="U99" i="4" s="1"/>
  <c r="AS98" i="4"/>
  <c r="AR98" i="4"/>
  <c r="Q17" i="4"/>
  <c r="O18" i="4"/>
  <c r="AZ97" i="4"/>
  <c r="R18" i="4"/>
  <c r="T17" i="4"/>
  <c r="BA63" i="4"/>
  <c r="AZ63" i="4"/>
  <c r="BA96" i="4"/>
  <c r="AZ12" i="4"/>
  <c r="AX29" i="4"/>
  <c r="AZ29" i="4" s="1"/>
  <c r="AJ92" i="4"/>
  <c r="AQ51" i="4"/>
  <c r="AS51" i="4" s="1"/>
  <c r="AS40" i="4"/>
  <c r="AR40" i="4"/>
  <c r="AJ43" i="4"/>
  <c r="AK43" i="4"/>
  <c r="AY29" i="4"/>
  <c r="BA10" i="4"/>
  <c r="AZ14" i="4"/>
  <c r="AG98" i="4"/>
  <c r="AF98" i="4"/>
  <c r="X84" i="4"/>
  <c r="I11" i="4"/>
  <c r="G17" i="4"/>
  <c r="AB29" i="4"/>
  <c r="BA9" i="4"/>
  <c r="AZ9" i="4"/>
  <c r="AA99" i="4"/>
  <c r="AC99" i="4" s="1"/>
  <c r="AC25" i="4"/>
  <c r="J51" i="4"/>
  <c r="L40" i="4"/>
  <c r="T99" i="4"/>
  <c r="BA65" i="4"/>
  <c r="E104" i="4"/>
  <c r="AY104" i="4"/>
  <c r="BA104" i="4" s="1"/>
  <c r="E58" i="4"/>
  <c r="AY58" i="4"/>
  <c r="AZ46" i="4"/>
  <c r="S100" i="4"/>
  <c r="AK25" i="4"/>
  <c r="BA69" i="4"/>
  <c r="AZ69" i="4"/>
  <c r="AX49" i="4"/>
  <c r="H49" i="4"/>
  <c r="M49" i="4"/>
  <c r="T92" i="4"/>
  <c r="H17" i="4"/>
  <c r="F18" i="4"/>
  <c r="AR18" i="4"/>
  <c r="AZ68" i="4"/>
  <c r="L98" i="4"/>
  <c r="BA87" i="4"/>
  <c r="BA23" i="4"/>
  <c r="AZ23" i="4"/>
  <c r="D104" i="4"/>
  <c r="AX104" i="4"/>
  <c r="AZ104" i="4" s="1"/>
  <c r="X58" i="4"/>
  <c r="U49" i="4"/>
  <c r="T49" i="4"/>
  <c r="T58" i="4"/>
  <c r="AE18" i="4"/>
  <c r="AG17" i="4"/>
  <c r="AX40" i="4"/>
  <c r="AZ40" i="4" s="1"/>
  <c r="D40" i="4"/>
  <c r="B51" i="4"/>
  <c r="AO17" i="4"/>
  <c r="AM18" i="4"/>
  <c r="G99" i="4"/>
  <c r="I25" i="4"/>
  <c r="AX98" i="4"/>
  <c r="AZ98" i="4" s="1"/>
  <c r="D98" i="4"/>
  <c r="V18" i="4"/>
  <c r="I84" i="4"/>
  <c r="AZ50" i="4"/>
  <c r="BA50" i="4"/>
  <c r="AK40" i="4"/>
  <c r="AJ40" i="4"/>
  <c r="AI51" i="4"/>
  <c r="AK51" i="4" s="1"/>
  <c r="BA52" i="4"/>
  <c r="K51" i="4"/>
  <c r="M40" i="4"/>
  <c r="H70" i="4"/>
  <c r="AX58" i="4"/>
  <c r="AZ58" i="4" s="1"/>
  <c r="D58" i="4"/>
  <c r="BA22" i="4"/>
  <c r="BA81" i="4"/>
  <c r="AY77" i="4"/>
  <c r="BA77" i="4" s="1"/>
  <c r="BA56" i="4"/>
  <c r="AY92" i="4"/>
  <c r="BA92" i="4" s="1"/>
  <c r="AZ83" i="4"/>
  <c r="BA83" i="4"/>
  <c r="AX70" i="4"/>
  <c r="AZ70" i="4" s="1"/>
  <c r="D70" i="4"/>
  <c r="BA24" i="4"/>
  <c r="AZ24" i="4"/>
  <c r="H40" i="4"/>
  <c r="F51" i="4"/>
  <c r="D17" i="4"/>
  <c r="B18" i="4"/>
  <c r="AX17" i="4"/>
  <c r="AJ51" i="4"/>
  <c r="AJ77" i="4"/>
  <c r="AW92" i="4"/>
  <c r="AV92" i="4"/>
  <c r="BA60" i="4"/>
  <c r="AX43" i="4"/>
  <c r="AZ43" i="4" s="1"/>
  <c r="D43" i="4"/>
  <c r="P98" i="4"/>
  <c r="AX77" i="4"/>
  <c r="D77" i="4"/>
  <c r="K17" i="4"/>
  <c r="M11" i="4"/>
  <c r="L11" i="4"/>
  <c r="AM51" i="4"/>
  <c r="AO51" i="4" s="1"/>
  <c r="AO40" i="4"/>
  <c r="AN40" i="4"/>
  <c r="BA80" i="4"/>
  <c r="H11" i="4"/>
  <c r="AF70" i="4"/>
  <c r="E43" i="4"/>
  <c r="AY43" i="4"/>
  <c r="AZ94" i="4"/>
  <c r="AX84" i="4"/>
  <c r="AZ84" i="4" s="1"/>
  <c r="AZ37" i="4"/>
  <c r="AU99" i="4"/>
  <c r="AW99" i="4" s="1"/>
  <c r="BA67" i="4"/>
  <c r="X70" i="4"/>
  <c r="W17" i="4"/>
  <c r="Y11" i="4"/>
  <c r="AI17" i="4"/>
  <c r="AK11" i="4"/>
  <c r="AJ11" i="4"/>
  <c r="X104" i="4"/>
  <c r="D84" i="4"/>
  <c r="AZ95" i="4"/>
  <c r="E77" i="4"/>
  <c r="BA16" i="4"/>
  <c r="O51" i="4"/>
  <c r="P40" i="4"/>
  <c r="Q40" i="4"/>
  <c r="AJ25" i="4"/>
  <c r="AZ66" i="4"/>
  <c r="AZ89" i="4"/>
  <c r="AZ61" i="4"/>
  <c r="AP99" i="4"/>
  <c r="P70" i="4"/>
  <c r="Q70" i="4"/>
  <c r="AS25" i="4"/>
  <c r="AR25" i="4"/>
  <c r="AZ64" i="4"/>
  <c r="AZ32" i="4"/>
  <c r="AZ73" i="4"/>
  <c r="E92" i="4"/>
  <c r="AF100" i="4" l="1"/>
  <c r="AD105" i="4"/>
  <c r="L51" i="4"/>
  <c r="J99" i="4"/>
  <c r="N105" i="4"/>
  <c r="AY51" i="4"/>
  <c r="E51" i="4"/>
  <c r="M51" i="4"/>
  <c r="AZ92" i="4"/>
  <c r="R100" i="4"/>
  <c r="T18" i="4"/>
  <c r="AT105" i="4"/>
  <c r="H51" i="4"/>
  <c r="F99" i="4"/>
  <c r="H99" i="4" s="1"/>
  <c r="O100" i="4"/>
  <c r="Q18" i="4"/>
  <c r="AR99" i="4"/>
  <c r="AP100" i="4"/>
  <c r="BA98" i="4"/>
  <c r="AF99" i="4"/>
  <c r="BA40" i="4"/>
  <c r="AN99" i="4"/>
  <c r="AL100" i="4"/>
  <c r="AU18" i="4"/>
  <c r="AW17" i="4"/>
  <c r="AV17" i="4"/>
  <c r="U18" i="4"/>
  <c r="AC51" i="4"/>
  <c r="AB51" i="4"/>
  <c r="K99" i="4"/>
  <c r="M99" i="4" s="1"/>
  <c r="W18" i="4"/>
  <c r="Y17" i="4"/>
  <c r="AM100" i="4"/>
  <c r="AO18" i="4"/>
  <c r="AN18" i="4"/>
  <c r="AX51" i="4"/>
  <c r="AZ51" i="4" s="1"/>
  <c r="D51" i="4"/>
  <c r="AH105" i="4"/>
  <c r="AX18" i="4"/>
  <c r="AI99" i="4"/>
  <c r="AZ25" i="4"/>
  <c r="AV99" i="4"/>
  <c r="AQ100" i="4"/>
  <c r="AS18" i="4"/>
  <c r="B99" i="4"/>
  <c r="AK17" i="4"/>
  <c r="AI18" i="4"/>
  <c r="AJ17" i="4"/>
  <c r="V100" i="4"/>
  <c r="X18" i="4"/>
  <c r="AC17" i="4"/>
  <c r="AA18" i="4"/>
  <c r="AB17" i="4"/>
  <c r="BA70" i="4"/>
  <c r="AR51" i="4"/>
  <c r="BA84" i="4"/>
  <c r="J100" i="4"/>
  <c r="L18" i="4"/>
  <c r="BA43" i="4"/>
  <c r="AZ49" i="4"/>
  <c r="AE100" i="4"/>
  <c r="AG18" i="4"/>
  <c r="Q51" i="4"/>
  <c r="O99" i="4"/>
  <c r="Q99" i="4" s="1"/>
  <c r="P51" i="4"/>
  <c r="G18" i="4"/>
  <c r="I17" i="4"/>
  <c r="AB99" i="4"/>
  <c r="S105" i="4"/>
  <c r="Z105" i="4"/>
  <c r="BA58" i="4"/>
  <c r="K18" i="4"/>
  <c r="M17" i="4"/>
  <c r="X17" i="4"/>
  <c r="BA29" i="4"/>
  <c r="AQ99" i="4"/>
  <c r="AS99" i="4" s="1"/>
  <c r="AZ77" i="4"/>
  <c r="E17" i="4"/>
  <c r="C18" i="4"/>
  <c r="AY17" i="4"/>
  <c r="BA17" i="4" s="1"/>
  <c r="Q100" i="4" l="1"/>
  <c r="O105" i="4"/>
  <c r="Q105" i="4" s="1"/>
  <c r="I18" i="4"/>
  <c r="G100" i="4"/>
  <c r="AX99" i="4"/>
  <c r="AZ99" i="4" s="1"/>
  <c r="D99" i="4"/>
  <c r="R105" i="4"/>
  <c r="T105" i="4" s="1"/>
  <c r="T100" i="4"/>
  <c r="J105" i="4"/>
  <c r="AU100" i="4"/>
  <c r="AW18" i="4"/>
  <c r="AV18" i="4"/>
  <c r="AN100" i="4"/>
  <c r="AL105" i="4"/>
  <c r="AN105" i="4" s="1"/>
  <c r="AZ18" i="4"/>
  <c r="F100" i="4"/>
  <c r="U105" i="4"/>
  <c r="V105" i="4"/>
  <c r="AO100" i="4"/>
  <c r="AM105" i="4"/>
  <c r="AK18" i="4"/>
  <c r="AI100" i="4"/>
  <c r="AJ18" i="4"/>
  <c r="I99" i="4"/>
  <c r="W100" i="4"/>
  <c r="Y18" i="4"/>
  <c r="AY18" i="4"/>
  <c r="BA18" i="4" s="1"/>
  <c r="C100" i="4"/>
  <c r="E18" i="4"/>
  <c r="AQ105" i="4"/>
  <c r="AS100" i="4"/>
  <c r="P99" i="4"/>
  <c r="P105" i="4"/>
  <c r="B100" i="4"/>
  <c r="P100" i="4"/>
  <c r="K100" i="4"/>
  <c r="M18" i="4"/>
  <c r="E99" i="4"/>
  <c r="AY99" i="4"/>
  <c r="H18" i="4"/>
  <c r="AG100" i="4"/>
  <c r="AE105" i="4"/>
  <c r="AG105" i="4" s="1"/>
  <c r="AK99" i="4"/>
  <c r="AJ99" i="4"/>
  <c r="BA51" i="4"/>
  <c r="D18" i="4"/>
  <c r="L99" i="4"/>
  <c r="AZ17" i="4"/>
  <c r="U100" i="4"/>
  <c r="AA100" i="4"/>
  <c r="AC18" i="4"/>
  <c r="AB18" i="4"/>
  <c r="AP105" i="4"/>
  <c r="AR105" i="4" s="1"/>
  <c r="AR100" i="4"/>
  <c r="AF105" i="4"/>
  <c r="M100" i="4" l="1"/>
  <c r="K105" i="4"/>
  <c r="M105" i="4" s="1"/>
  <c r="L105" i="4"/>
  <c r="L100" i="4"/>
  <c r="AK100" i="4"/>
  <c r="AI105" i="4"/>
  <c r="AJ100" i="4"/>
  <c r="G105" i="4"/>
  <c r="I100" i="4"/>
  <c r="F105" i="4"/>
  <c r="H105" i="4" s="1"/>
  <c r="H100" i="4"/>
  <c r="B105" i="4"/>
  <c r="AX100" i="4"/>
  <c r="AZ100" i="4" s="1"/>
  <c r="D100" i="4"/>
  <c r="AA105" i="4"/>
  <c r="AC100" i="4"/>
  <c r="AB100" i="4"/>
  <c r="AS105" i="4"/>
  <c r="AU105" i="4"/>
  <c r="AW100" i="4"/>
  <c r="AV100" i="4"/>
  <c r="AY100" i="4"/>
  <c r="C105" i="4"/>
  <c r="E100" i="4"/>
  <c r="W105" i="4"/>
  <c r="Y105" i="4" s="1"/>
  <c r="Y100" i="4"/>
  <c r="AO105" i="4"/>
  <c r="BA99" i="4"/>
  <c r="X100" i="4"/>
  <c r="AW105" i="4" l="1"/>
  <c r="AV105" i="4"/>
  <c r="AC105" i="4"/>
  <c r="AB105" i="4"/>
  <c r="AX105" i="4"/>
  <c r="D105" i="4"/>
  <c r="I105" i="4"/>
  <c r="AK105" i="4"/>
  <c r="AJ105" i="4"/>
  <c r="AY105" i="4"/>
  <c r="BA105" i="4" s="1"/>
  <c r="E105" i="4"/>
  <c r="BA100" i="4"/>
  <c r="X105" i="4"/>
  <c r="B65" i="3"/>
  <c r="B24" i="3"/>
  <c r="B14" i="3"/>
  <c r="B32" i="3" s="1"/>
  <c r="B64" i="3"/>
  <c r="B53" i="3"/>
  <c r="B45" i="3"/>
  <c r="B49" i="3" s="1"/>
  <c r="B50" i="3" s="1"/>
  <c r="B54" i="3" s="1"/>
  <c r="B38" i="3"/>
  <c r="B31" i="3"/>
  <c r="B28" i="3"/>
  <c r="B23" i="3"/>
  <c r="B17" i="3"/>
  <c r="B65" i="2"/>
  <c r="B54" i="2"/>
  <c r="B50" i="2"/>
  <c r="B46" i="2"/>
  <c r="B39" i="2"/>
  <c r="B51" i="2" s="1"/>
  <c r="B55" i="2" s="1"/>
  <c r="B66" i="2" s="1"/>
  <c r="B32" i="2"/>
  <c r="B29" i="2"/>
  <c r="B24" i="2"/>
  <c r="B18" i="2"/>
  <c r="B13" i="2"/>
  <c r="B15" i="2" s="1"/>
  <c r="B25" i="2" s="1"/>
  <c r="B33" i="2" s="1"/>
  <c r="AZ105" i="4" l="1"/>
</calcChain>
</file>

<file path=xl/sharedStrings.xml><?xml version="1.0" encoding="utf-8"?>
<sst xmlns="http://schemas.openxmlformats.org/spreadsheetml/2006/main" count="421" uniqueCount="289">
  <si>
    <t>Balance Sheet</t>
  </si>
  <si>
    <t>Berthoud Community Library District</t>
  </si>
  <si>
    <t>As of Mar 31, 2026</t>
  </si>
  <si>
    <t/>
  </si>
  <si>
    <t>Total</t>
  </si>
  <si>
    <t>Assets</t>
  </si>
  <si>
    <t>Current Assets</t>
  </si>
  <si>
    <t>Bank Accounts</t>
  </si>
  <si>
    <t>10000 Independent Bank Checking</t>
  </si>
  <si>
    <t>ColoTrust</t>
  </si>
  <si>
    <t>Independent Bank Savings</t>
  </si>
  <si>
    <t>Building fund cash</t>
  </si>
  <si>
    <t>Total for Independent Bank Savings</t>
  </si>
  <si>
    <t>Petty Cash</t>
  </si>
  <si>
    <t>Total for Bank Accounts</t>
  </si>
  <si>
    <t>Accounts Receivable</t>
  </si>
  <si>
    <t>12000 Property Taxes Receivable</t>
  </si>
  <si>
    <t>Total for Accounts Receivable</t>
  </si>
  <si>
    <t>Other Current Assets</t>
  </si>
  <si>
    <t>15150 Payroll Clearing</t>
  </si>
  <si>
    <t>Building Fund CD 0405</t>
  </si>
  <si>
    <t>Building Fund CD 1014</t>
  </si>
  <si>
    <t>Payroll Corrections</t>
  </si>
  <si>
    <t>Total for Other Current Assets</t>
  </si>
  <si>
    <t>Total for Current Assets</t>
  </si>
  <si>
    <t>Fixed Assets</t>
  </si>
  <si>
    <t>Building</t>
  </si>
  <si>
    <t>Remodel</t>
  </si>
  <si>
    <t>Total for Fixed Assets</t>
  </si>
  <si>
    <t>Other Assets</t>
  </si>
  <si>
    <t>Deposits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</si>
  <si>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</si>
  <si>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</si>
  <si>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</si>
  <si>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</si>
  <si>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</si>
  <si>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</si>
  <si>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</si>
  <si>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</si>
  <si>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Other Current Liabilities</t>
  </si>
  <si>
    <t>22000 Payroll Liabilities</t>
  </si>
  <si>
    <t>22100 CO Income Tax</t>
  </si>
  <si>
    <t>22200 CO Unemployment Tax</t>
  </si>
  <si>
    <t>22300 Federal Taxes (941)</t>
  </si>
  <si>
    <t>22400 Federal Unemployment (940)</t>
  </si>
  <si>
    <t>Total for 22000 Payroll Liabilities</t>
  </si>
  <si>
    <t>22001 PayrollClearing</t>
  </si>
  <si>
    <t>23000 Deferred Infows Property Taxes</t>
  </si>
  <si>
    <t>Direct Deposit Liabilities</t>
  </si>
  <si>
    <t>Total for Other Current Liabilities</t>
  </si>
  <si>
    <t>Total for Current Liabilities</t>
  </si>
  <si>
    <t>Long-term Liabilities</t>
  </si>
  <si>
    <t>TOB Roof Repairs</t>
  </si>
  <si>
    <t>Total for Long-term Liabilities</t>
  </si>
  <si>
    <t>Total for Liabilities</t>
  </si>
  <si>
    <t>Equity</t>
  </si>
  <si>
    <t>2011 Budget Transfer</t>
  </si>
  <si>
    <t>30000 Opening Balance Equity</t>
  </si>
  <si>
    <t>Building Fund Reserve</t>
  </si>
  <si>
    <t>Literacy Fund Reserve</t>
  </si>
  <si>
    <t>Remodeling</t>
  </si>
  <si>
    <t>TABOR Reserve</t>
  </si>
  <si>
    <t>32000 *Fund Balance Unreserved</t>
  </si>
  <si>
    <t>Net Income</t>
  </si>
  <si>
    <t>Total for Equity</t>
  </si>
  <si>
    <t>Total for Liabilities and Equity</t>
  </si>
  <si>
    <t>Accrual Basis Friday, April 10, 2026 05:09 PM GMTZ</t>
  </si>
  <si>
    <t xml:space="preserve">Budget vs. Actuals: Budget_FY26_P&amp;L_1 - FY26 P&amp;L </t>
  </si>
  <si>
    <t>January - December 2026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</si>
  <si>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</si>
  <si>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</si>
  <si>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</si>
  <si>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</si>
  <si>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</si>
  <si>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</si>
  <si>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</si>
  <si>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</si>
  <si>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</si>
  <si>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</si>
  <si>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</si>
  <si>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</si>
  <si>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Actual</t>
  </si>
  <si>
    <t>Budget</t>
  </si>
  <si>
    <t>over Budget</t>
  </si>
  <si>
    <t>% of Budget</t>
  </si>
  <si>
    <t>Income</t>
  </si>
  <si>
    <t xml:space="preserve">   40010 Donations</t>
  </si>
  <si>
    <t xml:space="preserve">      Grants</t>
  </si>
  <si>
    <t xml:space="preserve">      Memorials/Designated</t>
  </si>
  <si>
    <t xml:space="preserve">   Total 40010 Donations</t>
  </si>
  <si>
    <t xml:space="preserve">   Copies</t>
  </si>
  <si>
    <t xml:space="preserve">   Fees</t>
  </si>
  <si>
    <t xml:space="preserve">   Interest Earned</t>
  </si>
  <si>
    <t xml:space="preserve">   Property Tax</t>
  </si>
  <si>
    <t xml:space="preserve">   SOT Tax</t>
  </si>
  <si>
    <t>Total Income</t>
  </si>
  <si>
    <t>Gross Profit</t>
  </si>
  <si>
    <t>Expenses</t>
  </si>
  <si>
    <t xml:space="preserve">   60000 Insurance</t>
  </si>
  <si>
    <t xml:space="preserve">      60100 Aflac</t>
  </si>
  <si>
    <t xml:space="preserve">      60200 Medical/Dental/Vision</t>
  </si>
  <si>
    <t xml:space="preserve">      60250 Property &amp; Liability</t>
  </si>
  <si>
    <t xml:space="preserve">      60350 Worker's Compensation</t>
  </si>
  <si>
    <t xml:space="preserve">   Total 60000 Insurance</t>
  </si>
  <si>
    <t xml:space="preserve">   66000 Payroll Expense</t>
  </si>
  <si>
    <t xml:space="preserve">      66100 Payroll Tax Expense</t>
  </si>
  <si>
    <t xml:space="preserve">      66200 Salaries</t>
  </si>
  <si>
    <t xml:space="preserve">   Total 66000 Payroll Expense</t>
  </si>
  <si>
    <t xml:space="preserve">   Accounting / Payroll Service</t>
  </si>
  <si>
    <t xml:space="preserve">   Advertising</t>
  </si>
  <si>
    <t xml:space="preserve">   Attorney</t>
  </si>
  <si>
    <t xml:space="preserve">   Bank Fees</t>
  </si>
  <si>
    <t xml:space="preserve">   Collection Development</t>
  </si>
  <si>
    <t xml:space="preserve">      Audiovisual</t>
  </si>
  <si>
    <t xml:space="preserve">         Adult Audiobooks</t>
  </si>
  <si>
    <t xml:space="preserve">         Children's Audiobooks</t>
  </si>
  <si>
    <t xml:space="preserve">         DVD - Adult</t>
  </si>
  <si>
    <t xml:space="preserve">         DVD - Youth</t>
  </si>
  <si>
    <t xml:space="preserve">      Total Audiovisual</t>
  </si>
  <si>
    <t xml:space="preserve">      Digital Materials</t>
  </si>
  <si>
    <t xml:space="preserve">         E Books</t>
  </si>
  <si>
    <t xml:space="preserve">      Total Digital Materials</t>
  </si>
  <si>
    <t xml:space="preserve">      Online Resources</t>
  </si>
  <si>
    <t xml:space="preserve">      Print Materials</t>
  </si>
  <si>
    <t xml:space="preserve">         Adult</t>
  </si>
  <si>
    <t xml:space="preserve">         Children's</t>
  </si>
  <si>
    <t xml:space="preserve">         Periodicals</t>
  </si>
  <si>
    <t xml:space="preserve">      Total Print Materials</t>
  </si>
  <si>
    <t xml:space="preserve">      Video Streaming</t>
  </si>
  <si>
    <t xml:space="preserve">   Total Collection Development</t>
  </si>
  <si>
    <t xml:space="preserve">   Copier Lease</t>
  </si>
  <si>
    <t xml:space="preserve">   Courier</t>
  </si>
  <si>
    <t xml:space="preserve">   Donation</t>
  </si>
  <si>
    <t xml:space="preserve">      Undesignated</t>
  </si>
  <si>
    <t xml:space="preserve">   Total Donation</t>
  </si>
  <si>
    <t xml:space="preserve">   Furnishings</t>
  </si>
  <si>
    <t xml:space="preserve">   Hospitality</t>
  </si>
  <si>
    <t xml:space="preserve">   Lost book refund</t>
  </si>
  <si>
    <t xml:space="preserve">   Maintenance</t>
  </si>
  <si>
    <t xml:space="preserve">      Carpet Cleaning</t>
  </si>
  <si>
    <t xml:space="preserve">      Custodial Services</t>
  </si>
  <si>
    <t xml:space="preserve">      Lawn Care/Snow Removal</t>
  </si>
  <si>
    <t xml:space="preserve">      Repairs</t>
  </si>
  <si>
    <t xml:space="preserve">      Security/Alarm</t>
  </si>
  <si>
    <t xml:space="preserve">      Supplies</t>
  </si>
  <si>
    <t xml:space="preserve">      Window Cleaning</t>
  </si>
  <si>
    <t xml:space="preserve">   Total Maintenance</t>
  </si>
  <si>
    <t xml:space="preserve">   Pension</t>
  </si>
  <si>
    <t xml:space="preserve">   Professional Development</t>
  </si>
  <si>
    <t xml:space="preserve">   Professional Memberships</t>
  </si>
  <si>
    <t xml:space="preserve">   Programming</t>
  </si>
  <si>
    <t xml:space="preserve">      Adult</t>
  </si>
  <si>
    <t xml:space="preserve">      Youth</t>
  </si>
  <si>
    <t xml:space="preserve">   Total Programming</t>
  </si>
  <si>
    <t xml:space="preserve">   Programming supplies</t>
  </si>
  <si>
    <t xml:space="preserve">   Supplies</t>
  </si>
  <si>
    <t xml:space="preserve">      Library Supplies</t>
  </si>
  <si>
    <t xml:space="preserve">      Office Supplies</t>
  </si>
  <si>
    <t xml:space="preserve">      Programming supplies</t>
  </si>
  <si>
    <t xml:space="preserve">      Staff Appreciation</t>
  </si>
  <si>
    <t xml:space="preserve">   Total Supplies</t>
  </si>
  <si>
    <t xml:space="preserve">   Tax Collection Fees</t>
  </si>
  <si>
    <t xml:space="preserve">   Technology</t>
  </si>
  <si>
    <t xml:space="preserve">      Computer Maintenance</t>
  </si>
  <si>
    <t xml:space="preserve">      Hardware</t>
  </si>
  <si>
    <t xml:space="preserve">      ILS</t>
  </si>
  <si>
    <t xml:space="preserve">      Office Equipment</t>
  </si>
  <si>
    <t xml:space="preserve">      Software</t>
  </si>
  <si>
    <t xml:space="preserve">   Total Technology</t>
  </si>
  <si>
    <t xml:space="preserve">   Utilities</t>
  </si>
  <si>
    <t xml:space="preserve">      Data Connection</t>
  </si>
  <si>
    <t xml:space="preserve">      Power</t>
  </si>
  <si>
    <t xml:space="preserve">      Trash Removal</t>
  </si>
  <si>
    <t xml:space="preserve">      Water</t>
  </si>
  <si>
    <t xml:space="preserve">   Total Utilities</t>
  </si>
  <si>
    <t>Total Expenses</t>
  </si>
  <si>
    <t>Net Operating Income</t>
  </si>
  <si>
    <t>Other Expenses</t>
  </si>
  <si>
    <t xml:space="preserve">   Reconciliation Discrepancies-1</t>
  </si>
  <si>
    <t>Total Other Expenses</t>
  </si>
  <si>
    <t>Net Other Income</t>
  </si>
  <si>
    <t>Friday, Apr 10, 2026 10:10:18 AM GMT-7 - Accrual Basis</t>
  </si>
  <si>
    <t>Expenses by Vendor Summary</t>
  </si>
  <si>
    <t>March 1-31, 2026</t>
  </si>
  <si>
    <t>Ace Hardware</t>
  </si>
  <si>
    <t>Aflac</t>
  </si>
  <si>
    <t>Amazon</t>
  </si>
  <si>
    <t>Ann Lincoln</t>
  </si>
  <si>
    <t>Berthoud Recreation Center</t>
  </si>
  <si>
    <t>Canon Financial Services, Inc.</t>
  </si>
  <si>
    <t>Cardmember Services</t>
  </si>
  <si>
    <t>Center Point Large Print</t>
  </si>
  <si>
    <t>Charles Schwab</t>
  </si>
  <si>
    <t>Comcast - Business</t>
  </si>
  <si>
    <t>CU Science Discovery</t>
  </si>
  <si>
    <t>Demco - supplies</t>
  </si>
  <si>
    <t>Denise Gard</t>
  </si>
  <si>
    <t>EasyTrack Payroll</t>
  </si>
  <si>
    <t>Educate Station</t>
  </si>
  <si>
    <t>Flatirons Marketing &amp; Print</t>
  </si>
  <si>
    <t>Ingram</t>
  </si>
  <si>
    <t>Johnson Controls Security Solutions</t>
  </si>
  <si>
    <t>Know Buddy Resources</t>
  </si>
  <si>
    <t>Lakeview Books</t>
  </si>
  <si>
    <t>Midwest Tape</t>
  </si>
  <si>
    <t>Mountain View Commercial Cleaning</t>
  </si>
  <si>
    <t>Playground Theatre Company</t>
  </si>
  <si>
    <t>Public Sector Health Care Group</t>
  </si>
  <si>
    <t>Puppet Tales</t>
  </si>
  <si>
    <t>RCOM Computer Services</t>
  </si>
  <si>
    <t>Rocky Mountain Raptor Program</t>
  </si>
  <si>
    <t>Science Heroes</t>
  </si>
  <si>
    <t>Seter, Vander Wall &amp; Mielke, P.C.</t>
  </si>
  <si>
    <t>South State Bank</t>
  </si>
  <si>
    <t>Town of Berthoud - Water</t>
  </si>
  <si>
    <t>United Waste Systems</t>
  </si>
  <si>
    <t>Xcel Energy</t>
  </si>
  <si>
    <t>TOTAL</t>
  </si>
  <si>
    <t>Payroll</t>
  </si>
  <si>
    <t>Date</t>
  </si>
  <si>
    <t>Name</t>
  </si>
  <si>
    <t>Amount</t>
  </si>
  <si>
    <t>USPS PO 0707200378     BERTHOUD      CO</t>
  </si>
  <si>
    <t>Return DVD</t>
  </si>
  <si>
    <t>INTUIT *QBooks Online  SAN DIEGO     CA</t>
  </si>
  <si>
    <t>JOYFUL BREWS           BERTHOUD      CO</t>
  </si>
  <si>
    <t>Winter reading prize</t>
  </si>
  <si>
    <t>HAYS MARKET OF BERTH   BERTHOUD      CO</t>
  </si>
  <si>
    <t>AMAZON MARK* BP85Q7NO1 SEATTLE       WA</t>
  </si>
  <si>
    <t>Youth Programming</t>
  </si>
  <si>
    <t>LEGO                   Enfield       CT</t>
  </si>
  <si>
    <t>SLI prizes</t>
  </si>
  <si>
    <t>Adobe                  San Jose      CA</t>
  </si>
  <si>
    <t>NORTHGLENN ARC THRIFT  NORTHGLENN    CO</t>
  </si>
  <si>
    <t>WAL-MART #3867         WESTMINSTER   CO</t>
  </si>
  <si>
    <t>3DAY BLINDS 8008003329 IRVINE        CA</t>
  </si>
  <si>
    <t>Deposit on blinds</t>
  </si>
  <si>
    <t>ZOOM.COM 888-799-9666  SAN JOSE      CA</t>
  </si>
  <si>
    <t>Yearly subscription</t>
  </si>
  <si>
    <t>INTERNET PAYMENT THANK YOU</t>
  </si>
  <si>
    <t>READER ZONE            2088885160    ID</t>
  </si>
  <si>
    <t>SLI reading tracking</t>
  </si>
  <si>
    <t>PAYPAL *THOMPSONVAL    4029357733    CO</t>
  </si>
  <si>
    <t>Sam CPR class</t>
  </si>
  <si>
    <t>SQ *TROJAHN TRADES LLC Fort Collins  CO</t>
  </si>
  <si>
    <t>Repair toilet, fix sign, fix cabinet</t>
  </si>
  <si>
    <t>SP MARLEY AND MOOSE    BERTHOUD      CO</t>
  </si>
  <si>
    <t>SLI Prize</t>
  </si>
  <si>
    <t>THE HOME DEPOT #1529   LOVELAND      CO</t>
  </si>
  <si>
    <t>Toilet seat</t>
  </si>
  <si>
    <t>SP AUNT FLOW           COLUMBUS      OH</t>
  </si>
  <si>
    <t>AMERICAN LIBRARY ASSOC CHICAGO       IL</t>
  </si>
  <si>
    <t>Sign language class for Tom</t>
  </si>
  <si>
    <t>AMAZON RETA* B51ZZ0HP1 SEATTLE       WA</t>
  </si>
  <si>
    <t>Should be refunded</t>
  </si>
  <si>
    <t>Return defective book, stamps</t>
  </si>
  <si>
    <t>GROOME TRANSPORTATION  FORT COLLINS  CO</t>
  </si>
  <si>
    <t>Airport transport for Amie</t>
  </si>
  <si>
    <t>Statistics</t>
  </si>
  <si>
    <t>2025 April</t>
  </si>
  <si>
    <t>2026 April</t>
  </si>
  <si>
    <t>% change</t>
  </si>
  <si>
    <t>YTD 2025</t>
  </si>
  <si>
    <t>YTD 2026</t>
  </si>
  <si>
    <t>Circulation</t>
  </si>
  <si>
    <t>Reference Questions</t>
  </si>
  <si>
    <t>Program attendance</t>
  </si>
  <si>
    <t>People counter</t>
  </si>
  <si>
    <t>3M Ebooks</t>
  </si>
  <si>
    <t>Over Drive</t>
  </si>
  <si>
    <t>Comic+</t>
  </si>
  <si>
    <t>Interlibrary Loans</t>
  </si>
  <si>
    <t>Number of items borrowed</t>
  </si>
  <si>
    <t>Number of items loaned</t>
  </si>
  <si>
    <t>ASPENCAT</t>
  </si>
  <si>
    <t>Registered Patrons</t>
  </si>
  <si>
    <t>New cards</t>
  </si>
  <si>
    <t>Total number of card holders</t>
  </si>
  <si>
    <t>Residents</t>
  </si>
  <si>
    <t>Non-Residents</t>
  </si>
  <si>
    <t>Collection</t>
  </si>
  <si>
    <t>Materials added</t>
  </si>
  <si>
    <t>Materials withdrawn</t>
  </si>
  <si>
    <t>Total materials owned</t>
  </si>
  <si>
    <t>Technology</t>
  </si>
  <si>
    <t>Computer use</t>
  </si>
  <si>
    <t xml:space="preserve">Web usage </t>
  </si>
  <si>
    <t>Tech Coaching</t>
  </si>
  <si>
    <t>Volunteer hours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</si>
</sst>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5" fillId="0" borderId="1"/>
    <xf numFmtId="0" fontId="9" fillId="0" borderId="0"/>
  </cellStyleXfs>
  <cellXfs count="52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1" fillId="0" borderId="0" xfId="1"/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6" fillId="0" borderId="1" xfId="2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1" fillId="0" borderId="0" xfId="1" applyAlignment="1">
      <alignment wrapText="1"/>
    </xf>
    <xf numFmtId="0" fontId="7" fillId="0" borderId="0" xfId="1" applyFont="1" applyAlignment="1">
      <alignment horizontal="left" wrapText="1" indent="1"/>
    </xf>
    <xf numFmtId="0" fontId="7" fillId="0" borderId="0" xfId="1" applyFont="1" applyAlignment="1">
      <alignment horizontal="left" wrapText="1" indent="2"/>
    </xf>
    <xf numFmtId="0" fontId="7" fillId="0" borderId="0" xfId="1" applyFont="1" applyAlignment="1">
      <alignment horizontal="left" wrapText="1" indent="3"/>
    </xf>
    <xf numFmtId="4" fontId="7" fillId="0" borderId="0" xfId="1" applyNumberFormat="1" applyFont="1" applyAlignment="1">
      <alignment wrapText="1"/>
    </xf>
    <xf numFmtId="0" fontId="7" fillId="0" borderId="0" xfId="1" applyFont="1" applyAlignment="1">
      <alignment horizontal="left" wrapText="1" indent="4"/>
    </xf>
    <xf numFmtId="0" fontId="8" fillId="0" borderId="0" xfId="1" applyFont="1" applyAlignment="1">
      <alignment horizontal="left" wrapText="1" indent="3"/>
    </xf>
    <xf numFmtId="164" fontId="8" fillId="0" borderId="2" xfId="1" applyNumberFormat="1" applyFont="1" applyBorder="1" applyAlignment="1">
      <alignment wrapText="1"/>
    </xf>
    <xf numFmtId="0" fontId="8" fillId="0" borderId="0" xfId="1" applyFont="1" applyAlignment="1">
      <alignment horizontal="left" wrapText="1" indent="2"/>
    </xf>
    <xf numFmtId="0" fontId="8" fillId="0" borderId="0" xfId="1" applyFont="1" applyAlignment="1">
      <alignment horizontal="left" wrapText="1" indent="1"/>
    </xf>
    <xf numFmtId="0" fontId="8" fillId="0" borderId="0" xfId="1" applyFont="1" applyAlignment="1">
      <alignment horizontal="left" wrapText="1"/>
    </xf>
    <xf numFmtId="0" fontId="7" fillId="0" borderId="0" xfId="1" applyFont="1" applyAlignment="1">
      <alignment horizontal="left" wrapText="1" indent="5"/>
    </xf>
    <xf numFmtId="0" fontId="8" fillId="0" borderId="0" xfId="1" applyFont="1" applyAlignment="1">
      <alignment horizontal="left" wrapText="1" indent="4"/>
    </xf>
    <xf numFmtId="0" fontId="7" fillId="0" borderId="0" xfId="1" applyFont="1" applyAlignment="1">
      <alignment horizontal="center" wrapText="1"/>
    </xf>
    <xf numFmtId="0" fontId="10" fillId="0" borderId="0" xfId="3" applyFont="1" applyAlignment="1">
      <alignment horizontal="center"/>
    </xf>
    <xf numFmtId="0" fontId="9" fillId="0" borderId="0" xfId="3"/>
    <xf numFmtId="0" fontId="9" fillId="0" borderId="0" xfId="3"/>
    <xf numFmtId="0" fontId="11" fillId="0" borderId="0" xfId="3" applyFont="1" applyAlignment="1">
      <alignment horizontal="center"/>
    </xf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13" fillId="0" borderId="0" xfId="3" applyFont="1" applyAlignment="1">
      <alignment horizontal="left" wrapText="1"/>
    </xf>
    <xf numFmtId="165" fontId="14" fillId="0" borderId="0" xfId="3" applyNumberFormat="1" applyFont="1" applyAlignment="1">
      <alignment wrapText="1"/>
    </xf>
    <xf numFmtId="165" fontId="14" fillId="0" borderId="0" xfId="3" applyNumberFormat="1" applyFont="1" applyAlignment="1">
      <alignment horizontal="right" wrapText="1"/>
    </xf>
    <xf numFmtId="10" fontId="14" fillId="0" borderId="0" xfId="3" applyNumberFormat="1" applyFont="1" applyAlignment="1">
      <alignment horizontal="right" wrapText="1"/>
    </xf>
    <xf numFmtId="166" fontId="13" fillId="0" borderId="2" xfId="3" applyNumberFormat="1" applyFont="1" applyBorder="1" applyAlignment="1">
      <alignment horizontal="right" wrapText="1"/>
    </xf>
    <xf numFmtId="10" fontId="13" fillId="0" borderId="2" xfId="3" applyNumberFormat="1" applyFont="1" applyBorder="1" applyAlignment="1">
      <alignment horizontal="right" wrapText="1"/>
    </xf>
    <xf numFmtId="0" fontId="14" fillId="0" borderId="0" xfId="3" applyFont="1" applyAlignment="1">
      <alignment horizontal="center"/>
    </xf>
    <xf numFmtId="0" fontId="8" fillId="0" borderId="2" xfId="1" applyFont="1" applyBorder="1" applyAlignment="1">
      <alignment horizontal="left" wrapText="1"/>
    </xf>
    <xf numFmtId="14" fontId="0" fillId="0" borderId="0" xfId="0" applyNumberFormat="1"/>
    <xf numFmtId="0" fontId="15" fillId="0" borderId="0" xfId="0" applyFont="1" applyAlignment="1">
      <alignment horizontal="center"/>
    </xf>
    <xf numFmtId="17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1" fontId="0" fillId="0" borderId="0" xfId="0" applyNumberFormat="1"/>
    <xf numFmtId="9" fontId="0" fillId="0" borderId="0" xfId="0" applyNumberFormat="1"/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" fillId="0" borderId="0" xfId="0" applyFont="1"/>
    <xf numFmtId="1" fontId="1" fillId="0" borderId="0" xfId="0" applyNumberFormat="1" applyFont="1"/>
    <xf numFmtId="0" fontId="18" fillId="0" borderId="0" xfId="0" applyFont="1" applyAlignment="1">
      <alignment wrapText="1"/>
    </xf>
  </cellXfs>
  <cellStyles count="4">
    <cellStyle name="HeaderCellStyle" xfId="2" xr:uid="{2EC9DEE4-E38E-4E8E-A9EF-28BD410A50D2}"/>
    <cellStyle name="Normal" xfId="0" builtinId="0"/>
    <cellStyle name="Normal 2" xfId="1" xr:uid="{84261190-C4B1-430D-AA60-E94BF02252CA}"/>
    <cellStyle name="Normal 3" xfId="3" xr:uid="{3467E792-1072-4015-BD02-DCCCA898A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TATISTICS\2011-2026%20Stats\2026%20Statistics.xlsx" TargetMode="External"/><Relationship Id="rId1" Type="http://schemas.openxmlformats.org/officeDocument/2006/relationships/externalLinkPath" Target="file:///Z:\STATISTICS\2011-2026%20Stats\2026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Sheet1"/>
      <sheetName val="Feb"/>
      <sheetName val="March"/>
      <sheetName val="April"/>
      <sheetName val="May"/>
      <sheetName val="June"/>
      <sheetName val="July"/>
      <sheetName val="Aug"/>
      <sheetName val="Sept"/>
      <sheetName val="Oct"/>
      <sheetName val="Nov"/>
      <sheetName val="Dec"/>
      <sheetName val="Program Information"/>
      <sheetName val="Podcasts"/>
    </sheetNames>
    <sheetDataSet>
      <sheetData sheetId="0" refreshError="1"/>
      <sheetData sheetId="1" refreshError="1"/>
      <sheetData sheetId="2">
        <row r="9">
          <cell r="G9">
            <v>2174</v>
          </cell>
        </row>
      </sheetData>
      <sheetData sheetId="3">
        <row r="4">
          <cell r="F4">
            <v>19138</v>
          </cell>
          <cell r="G4">
            <v>18557</v>
          </cell>
        </row>
        <row r="5">
          <cell r="G5">
            <v>0</v>
          </cell>
        </row>
        <row r="6">
          <cell r="F6">
            <v>1338</v>
          </cell>
          <cell r="G6">
            <v>1327</v>
          </cell>
        </row>
        <row r="7">
          <cell r="F7">
            <v>10349</v>
          </cell>
          <cell r="G7">
            <v>11412</v>
          </cell>
        </row>
        <row r="8">
          <cell r="F8">
            <v>898</v>
          </cell>
          <cell r="G8">
            <v>824</v>
          </cell>
        </row>
        <row r="9">
          <cell r="F9">
            <v>2567</v>
          </cell>
        </row>
        <row r="10">
          <cell r="F10">
            <v>32</v>
          </cell>
        </row>
        <row r="12">
          <cell r="F12">
            <v>123</v>
          </cell>
          <cell r="G12">
            <v>181</v>
          </cell>
        </row>
        <row r="13">
          <cell r="F13">
            <v>152</v>
          </cell>
          <cell r="G13">
            <v>141</v>
          </cell>
        </row>
        <row r="16">
          <cell r="F16">
            <v>2212</v>
          </cell>
          <cell r="G16">
            <v>2320</v>
          </cell>
        </row>
        <row r="17">
          <cell r="F17">
            <v>1082</v>
          </cell>
          <cell r="G17">
            <v>976</v>
          </cell>
        </row>
        <row r="20">
          <cell r="F20">
            <v>269</v>
          </cell>
          <cell r="G20">
            <v>295</v>
          </cell>
        </row>
        <row r="26">
          <cell r="F26">
            <v>789</v>
          </cell>
          <cell r="G26">
            <v>862</v>
          </cell>
        </row>
        <row r="27">
          <cell r="F27">
            <v>1455</v>
          </cell>
          <cell r="G27">
            <v>3488</v>
          </cell>
        </row>
        <row r="31">
          <cell r="F31">
            <v>881</v>
          </cell>
          <cell r="G31">
            <v>1020</v>
          </cell>
        </row>
        <row r="32">
          <cell r="F32">
            <v>17400</v>
          </cell>
          <cell r="G32">
            <v>9861</v>
          </cell>
        </row>
        <row r="33">
          <cell r="F33">
            <v>623</v>
          </cell>
          <cell r="G33">
            <v>525</v>
          </cell>
        </row>
        <row r="35">
          <cell r="F35">
            <v>67</v>
          </cell>
          <cell r="G35">
            <v>89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4E57-AD8C-4438-BEB1-1756F20A164D}">
  <dimension ref="A1:H35"/>
  <sheetViews>
    <sheetView tabSelected="1" view="pageLayout" topLeftCell="A21" zoomScale="125" zoomScaleNormal="125" zoomScalePageLayoutView="125" workbookViewId="0">
      <selection activeCell="G24" sqref="G24"/>
    </sheetView>
  </sheetViews>
  <sheetFormatPr defaultColWidth="8.6640625" defaultRowHeight="14.4" x14ac:dyDescent="0.3"/>
  <cols>
    <col min="1" max="1" width="24.6640625" customWidth="1"/>
    <col min="5" max="5" width="7.88671875" customWidth="1"/>
  </cols>
  <sheetData>
    <row r="1" spans="1:8" ht="31.2" x14ac:dyDescent="0.3">
      <c r="A1" s="39" t="s">
        <v>258</v>
      </c>
      <c r="B1" s="40" t="s">
        <v>259</v>
      </c>
      <c r="C1" s="40" t="s">
        <v>260</v>
      </c>
      <c r="D1" s="41" t="s">
        <v>261</v>
      </c>
      <c r="E1" s="41"/>
      <c r="F1" s="41" t="s">
        <v>262</v>
      </c>
      <c r="G1" s="41" t="s">
        <v>263</v>
      </c>
      <c r="H1" s="41" t="s">
        <v>261</v>
      </c>
    </row>
    <row r="2" spans="1:8" ht="15.6" x14ac:dyDescent="0.3">
      <c r="A2" s="39"/>
      <c r="B2" s="40"/>
      <c r="C2" s="40"/>
      <c r="D2" s="41"/>
      <c r="E2" s="41"/>
      <c r="F2" s="41"/>
      <c r="G2" s="41"/>
      <c r="H2" s="41"/>
    </row>
    <row r="3" spans="1:8" ht="15.6" x14ac:dyDescent="0.3">
      <c r="A3" s="42" t="s">
        <v>264</v>
      </c>
    </row>
    <row r="4" spans="1:8" x14ac:dyDescent="0.3">
      <c r="A4" s="43" t="s">
        <v>264</v>
      </c>
      <c r="B4" s="44">
        <v>6680</v>
      </c>
      <c r="C4" s="44">
        <v>6648</v>
      </c>
      <c r="D4" s="45">
        <f t="shared" ref="D4:D8" si="0">(C4-B4)/B4</f>
        <v>-4.7904191616766467E-3</v>
      </c>
      <c r="E4" s="45"/>
      <c r="F4" s="44">
        <f>[1]March!F4+B4</f>
        <v>25818</v>
      </c>
      <c r="G4" s="44">
        <f>[1]March!G4+C4</f>
        <v>25205</v>
      </c>
      <c r="H4" s="45">
        <f t="shared" ref="H4:H8" si="1">(G4-F4)/F4</f>
        <v>-2.3743124951584166E-2</v>
      </c>
    </row>
    <row r="5" spans="1:8" x14ac:dyDescent="0.3">
      <c r="A5" s="46" t="s">
        <v>265</v>
      </c>
      <c r="B5" s="44">
        <v>0</v>
      </c>
      <c r="C5" s="44">
        <v>0</v>
      </c>
      <c r="D5" s="45">
        <f>(C5-C4)/C4</f>
        <v>-1</v>
      </c>
      <c r="E5" s="45"/>
      <c r="F5" s="44">
        <v>0</v>
      </c>
      <c r="G5" s="44">
        <f>[1]March!G5+C5</f>
        <v>0</v>
      </c>
      <c r="H5" s="45" t="e">
        <f t="shared" si="1"/>
        <v>#DIV/0!</v>
      </c>
    </row>
    <row r="6" spans="1:8" x14ac:dyDescent="0.3">
      <c r="A6" s="46" t="s">
        <v>266</v>
      </c>
      <c r="B6" s="44">
        <v>471</v>
      </c>
      <c r="C6" s="44">
        <v>326</v>
      </c>
      <c r="D6" s="45">
        <f t="shared" si="0"/>
        <v>-0.30785562632696389</v>
      </c>
      <c r="E6" s="45"/>
      <c r="F6" s="44">
        <f>[1]March!F6+B6</f>
        <v>1809</v>
      </c>
      <c r="G6" s="44">
        <f>[1]March!G6+C6</f>
        <v>1653</v>
      </c>
      <c r="H6" s="45">
        <f t="shared" si="1"/>
        <v>-8.6235489220563843E-2</v>
      </c>
    </row>
    <row r="7" spans="1:8" x14ac:dyDescent="0.3">
      <c r="A7" s="46" t="s">
        <v>267</v>
      </c>
      <c r="B7" s="44">
        <v>3270</v>
      </c>
      <c r="C7" s="44">
        <v>3650</v>
      </c>
      <c r="D7" s="45">
        <f>(C7-B7)/B7</f>
        <v>0.11620795107033639</v>
      </c>
      <c r="E7" s="45"/>
      <c r="F7" s="44">
        <f>[1]March!F7+B7</f>
        <v>13619</v>
      </c>
      <c r="G7" s="44">
        <f>[1]March!G7+C7</f>
        <v>15062</v>
      </c>
      <c r="H7" s="45">
        <f t="shared" si="1"/>
        <v>0.10595491592627947</v>
      </c>
    </row>
    <row r="8" spans="1:8" x14ac:dyDescent="0.3">
      <c r="A8" s="46" t="s">
        <v>268</v>
      </c>
      <c r="B8" s="44">
        <v>306</v>
      </c>
      <c r="C8" s="44">
        <v>0</v>
      </c>
      <c r="D8" s="45">
        <f t="shared" si="0"/>
        <v>-1</v>
      </c>
      <c r="E8" s="45"/>
      <c r="F8" s="44">
        <f>[1]March!F8+B8</f>
        <v>1204</v>
      </c>
      <c r="G8" s="44">
        <f>[1]March!G8+C8</f>
        <v>824</v>
      </c>
      <c r="H8" s="45">
        <f t="shared" si="1"/>
        <v>-0.31561461794019935</v>
      </c>
    </row>
    <row r="9" spans="1:8" x14ac:dyDescent="0.3">
      <c r="A9" t="s">
        <v>269</v>
      </c>
      <c r="B9" s="44">
        <v>934</v>
      </c>
      <c r="C9" s="44">
        <v>993</v>
      </c>
      <c r="D9" s="45">
        <f>(C9-B9)/B9</f>
        <v>6.3169164882226986E-2</v>
      </c>
      <c r="F9" s="44">
        <f>[1]March!F9+B9</f>
        <v>3501</v>
      </c>
      <c r="G9" s="44">
        <f>[1]Feb!G9+C9</f>
        <v>3167</v>
      </c>
      <c r="H9" s="45">
        <f>(G9-F9)/F9</f>
        <v>-9.5401313910311342E-2</v>
      </c>
    </row>
    <row r="10" spans="1:8" x14ac:dyDescent="0.3">
      <c r="A10" s="46" t="s">
        <v>270</v>
      </c>
      <c r="B10" s="44">
        <v>3</v>
      </c>
      <c r="C10" s="44">
        <v>0</v>
      </c>
      <c r="D10" s="45">
        <f>(C10-B10)/B10</f>
        <v>-1</v>
      </c>
      <c r="E10" s="45"/>
      <c r="F10" s="44">
        <f>[1]March!F10+B10</f>
        <v>35</v>
      </c>
      <c r="G10" s="44">
        <f>C10</f>
        <v>0</v>
      </c>
      <c r="H10" s="45">
        <f>(G10-F10)/F10</f>
        <v>-1</v>
      </c>
    </row>
    <row r="11" spans="1:8" ht="15.6" x14ac:dyDescent="0.3">
      <c r="A11" s="42" t="s">
        <v>271</v>
      </c>
      <c r="B11" s="44"/>
      <c r="C11" s="44"/>
      <c r="D11" s="45"/>
      <c r="E11" s="45"/>
      <c r="F11" s="44"/>
      <c r="G11" s="44"/>
      <c r="H11" s="45"/>
    </row>
    <row r="12" spans="1:8" x14ac:dyDescent="0.3">
      <c r="A12" s="43" t="s">
        <v>272</v>
      </c>
      <c r="B12" s="44">
        <v>31</v>
      </c>
      <c r="C12" s="44">
        <v>53</v>
      </c>
      <c r="D12" s="45">
        <f>(C12-B12)/B12</f>
        <v>0.70967741935483875</v>
      </c>
      <c r="E12" s="45"/>
      <c r="F12" s="44">
        <f>[1]March!F12+B12</f>
        <v>154</v>
      </c>
      <c r="G12" s="44">
        <f>[1]March!G12+C12</f>
        <v>234</v>
      </c>
      <c r="H12" s="45">
        <f>(G12-F12)/F12</f>
        <v>0.51948051948051943</v>
      </c>
    </row>
    <row r="13" spans="1:8" x14ac:dyDescent="0.3">
      <c r="A13" s="46" t="s">
        <v>273</v>
      </c>
      <c r="B13" s="44">
        <v>48</v>
      </c>
      <c r="C13" s="44">
        <v>60</v>
      </c>
      <c r="D13" s="45">
        <f>(C13-B13)/B13</f>
        <v>0.25</v>
      </c>
      <c r="E13" s="45"/>
      <c r="F13" s="44">
        <f>[1]March!F13+B13</f>
        <v>200</v>
      </c>
      <c r="G13" s="44">
        <f>[1]March!G13+C13</f>
        <v>201</v>
      </c>
      <c r="H13" s="45">
        <f>(G13-F13)/F13</f>
        <v>5.0000000000000001E-3</v>
      </c>
    </row>
    <row r="14" spans="1:8" x14ac:dyDescent="0.3">
      <c r="A14" s="46"/>
      <c r="B14" s="44"/>
      <c r="C14" s="44"/>
      <c r="D14" s="45"/>
      <c r="E14" s="45"/>
      <c r="F14" s="44"/>
      <c r="G14" s="44"/>
      <c r="H14" s="45"/>
    </row>
    <row r="15" spans="1:8" x14ac:dyDescent="0.3">
      <c r="A15" s="47" t="s">
        <v>274</v>
      </c>
      <c r="B15" s="44"/>
      <c r="C15" s="44"/>
      <c r="D15" s="45"/>
      <c r="E15" s="45"/>
      <c r="F15" s="44"/>
      <c r="G15" s="44"/>
      <c r="H15" s="45"/>
    </row>
    <row r="16" spans="1:8" x14ac:dyDescent="0.3">
      <c r="A16" s="46" t="s">
        <v>272</v>
      </c>
      <c r="B16" s="44">
        <v>777</v>
      </c>
      <c r="C16" s="44">
        <v>0</v>
      </c>
      <c r="D16" s="45">
        <f>(C16-B16)/B16</f>
        <v>-1</v>
      </c>
      <c r="E16" s="45"/>
      <c r="F16" s="44">
        <f>[1]March!F16+B16</f>
        <v>2989</v>
      </c>
      <c r="G16" s="44">
        <f>[1]March!G16+C16</f>
        <v>2320</v>
      </c>
      <c r="H16" s="45">
        <f>(G16-F16)/F16</f>
        <v>-0.22382067581130813</v>
      </c>
    </row>
    <row r="17" spans="1:8" x14ac:dyDescent="0.3">
      <c r="A17" s="43" t="s">
        <v>273</v>
      </c>
      <c r="B17" s="44">
        <v>312</v>
      </c>
      <c r="C17" s="44">
        <v>0</v>
      </c>
      <c r="D17" s="45">
        <f>(C17-B17)/B17</f>
        <v>-1</v>
      </c>
      <c r="E17" s="45"/>
      <c r="F17" s="44">
        <f>[1]March!F17+B17</f>
        <v>1394</v>
      </c>
      <c r="G17" s="44">
        <f>[1]March!G17+C17</f>
        <v>976</v>
      </c>
      <c r="H17" s="45">
        <f>(G17-F17)/F17</f>
        <v>-0.29985652797704448</v>
      </c>
    </row>
    <row r="18" spans="1:8" x14ac:dyDescent="0.3">
      <c r="A18" s="43"/>
      <c r="B18" s="44"/>
      <c r="C18" s="44"/>
      <c r="D18" s="45"/>
      <c r="E18" s="45"/>
      <c r="F18" s="44"/>
      <c r="G18" s="44"/>
      <c r="H18" s="45"/>
    </row>
    <row r="19" spans="1:8" ht="15.6" x14ac:dyDescent="0.3">
      <c r="A19" s="48" t="s">
        <v>275</v>
      </c>
      <c r="B19" s="44"/>
      <c r="C19" s="44"/>
      <c r="D19" s="45"/>
      <c r="E19" s="45"/>
      <c r="F19" s="44"/>
      <c r="G19" s="44"/>
      <c r="H19" s="45"/>
    </row>
    <row r="20" spans="1:8" x14ac:dyDescent="0.3">
      <c r="A20" s="46" t="s">
        <v>276</v>
      </c>
      <c r="B20" s="44">
        <v>71</v>
      </c>
      <c r="C20" s="44">
        <v>56</v>
      </c>
      <c r="D20" s="45">
        <f>(C20-B20)/B20</f>
        <v>-0.21126760563380281</v>
      </c>
      <c r="E20" s="45"/>
      <c r="F20" s="44">
        <f>[1]March!F20+B20</f>
        <v>340</v>
      </c>
      <c r="G20" s="44">
        <f>[1]March!G20+C20</f>
        <v>351</v>
      </c>
      <c r="H20" s="45">
        <f>(G20-F20)/F20</f>
        <v>3.2352941176470591E-2</v>
      </c>
    </row>
    <row r="21" spans="1:8" ht="15.6" x14ac:dyDescent="0.3">
      <c r="A21" s="46" t="s">
        <v>277</v>
      </c>
      <c r="B21" s="44">
        <v>11656</v>
      </c>
      <c r="C21" s="44">
        <v>8300</v>
      </c>
      <c r="D21" s="45">
        <f>(C21-B21)/B21</f>
        <v>-0.28792038435140699</v>
      </c>
      <c r="E21" s="45"/>
      <c r="F21" s="49">
        <f t="shared" ref="F21:G23" si="2">B21</f>
        <v>11656</v>
      </c>
      <c r="G21" s="49">
        <f t="shared" si="2"/>
        <v>8300</v>
      </c>
      <c r="H21" s="45">
        <f>(G21-F21)/F21</f>
        <v>-0.28792038435140699</v>
      </c>
    </row>
    <row r="22" spans="1:8" ht="15.6" x14ac:dyDescent="0.3">
      <c r="A22" s="46" t="s">
        <v>278</v>
      </c>
      <c r="B22" s="44">
        <v>9614</v>
      </c>
      <c r="C22" s="44">
        <v>6799</v>
      </c>
      <c r="D22" s="45">
        <f>(C22-B22)/B22</f>
        <v>-0.29280216351154564</v>
      </c>
      <c r="E22" s="45"/>
      <c r="F22" s="49">
        <f t="shared" si="2"/>
        <v>9614</v>
      </c>
      <c r="G22" s="50">
        <v>6799</v>
      </c>
      <c r="H22" s="45">
        <f>(G22-F22)/F22</f>
        <v>-0.29280216351154564</v>
      </c>
    </row>
    <row r="23" spans="1:8" ht="15.6" x14ac:dyDescent="0.3">
      <c r="A23" s="46" t="s">
        <v>279</v>
      </c>
      <c r="B23" s="44">
        <v>2042</v>
      </c>
      <c r="C23" s="44">
        <v>1501</v>
      </c>
      <c r="D23" s="45">
        <f>(C23-B23)/B23</f>
        <v>-0.26493633692458374</v>
      </c>
      <c r="E23" s="45"/>
      <c r="F23" s="49">
        <f t="shared" si="2"/>
        <v>2042</v>
      </c>
      <c r="G23" s="50">
        <v>1501</v>
      </c>
      <c r="H23" s="45">
        <f>(G23-F23)/F23</f>
        <v>-0.26493633692458374</v>
      </c>
    </row>
    <row r="24" spans="1:8" ht="15.6" x14ac:dyDescent="0.3">
      <c r="A24" s="51"/>
      <c r="B24" s="44"/>
      <c r="C24" s="44"/>
      <c r="D24" s="45"/>
      <c r="E24" s="45"/>
      <c r="F24" s="44"/>
      <c r="G24" s="44"/>
      <c r="H24" s="45"/>
    </row>
    <row r="25" spans="1:8" ht="15.6" x14ac:dyDescent="0.3">
      <c r="A25" s="48" t="s">
        <v>280</v>
      </c>
      <c r="B25" s="44"/>
      <c r="C25" s="44"/>
      <c r="D25" s="45"/>
      <c r="E25" s="45"/>
      <c r="F25" s="44"/>
      <c r="G25" s="44"/>
      <c r="H25" s="45"/>
    </row>
    <row r="26" spans="1:8" x14ac:dyDescent="0.3">
      <c r="A26" s="46" t="s">
        <v>281</v>
      </c>
      <c r="B26" s="44">
        <v>252</v>
      </c>
      <c r="C26" s="44">
        <v>205</v>
      </c>
      <c r="D26" s="45">
        <f>(C26-B26)/B26</f>
        <v>-0.18650793650793651</v>
      </c>
      <c r="E26" s="45"/>
      <c r="F26" s="44">
        <f>[1]March!F26+B26</f>
        <v>1041</v>
      </c>
      <c r="G26" s="44">
        <f>[1]March!G26+C26</f>
        <v>1067</v>
      </c>
      <c r="H26" s="45">
        <f>(G26-F26)/F26</f>
        <v>2.4975984630163303E-2</v>
      </c>
    </row>
    <row r="27" spans="1:8" x14ac:dyDescent="0.3">
      <c r="A27" s="46" t="s">
        <v>282</v>
      </c>
      <c r="B27" s="44">
        <v>148</v>
      </c>
      <c r="C27" s="44">
        <v>107</v>
      </c>
      <c r="D27" s="45">
        <f>(C27-B27)/B27</f>
        <v>-0.27702702702702703</v>
      </c>
      <c r="E27" s="45"/>
      <c r="F27" s="44">
        <f>[1]March!F27+B27</f>
        <v>1603</v>
      </c>
      <c r="G27" s="44">
        <f>[1]March!G27+C27</f>
        <v>3595</v>
      </c>
      <c r="H27" s="45">
        <f>(G27-F27)/F27</f>
        <v>1.2426699937616967</v>
      </c>
    </row>
    <row r="28" spans="1:8" x14ac:dyDescent="0.3">
      <c r="A28" s="46" t="s">
        <v>283</v>
      </c>
      <c r="B28" s="44">
        <v>26142</v>
      </c>
      <c r="C28" s="44">
        <v>26202</v>
      </c>
      <c r="D28" s="45">
        <f>(C28-B28)/B28</f>
        <v>2.2951572182694515E-3</v>
      </c>
      <c r="E28" s="45"/>
      <c r="F28" s="44">
        <f>B28</f>
        <v>26142</v>
      </c>
      <c r="G28" s="44">
        <f>C28+G26-G27</f>
        <v>23674</v>
      </c>
      <c r="H28" s="45">
        <f>(G28-F28)/F28</f>
        <v>-9.440746691148344E-2</v>
      </c>
    </row>
    <row r="29" spans="1:8" x14ac:dyDescent="0.3">
      <c r="A29" s="46"/>
      <c r="B29" s="44"/>
      <c r="C29" s="44"/>
      <c r="D29" s="45"/>
      <c r="E29" s="45"/>
      <c r="F29" s="44"/>
      <c r="G29" s="44"/>
      <c r="H29" s="45"/>
    </row>
    <row r="30" spans="1:8" ht="15.6" x14ac:dyDescent="0.3">
      <c r="A30" s="48" t="s">
        <v>284</v>
      </c>
      <c r="B30" s="44"/>
      <c r="C30" s="44"/>
      <c r="D30" s="45"/>
      <c r="E30" s="45"/>
      <c r="F30" s="44"/>
      <c r="G30" s="44"/>
      <c r="H30" s="45"/>
    </row>
    <row r="31" spans="1:8" x14ac:dyDescent="0.3">
      <c r="A31" s="46" t="s">
        <v>285</v>
      </c>
      <c r="B31" s="44">
        <v>300</v>
      </c>
      <c r="C31" s="44">
        <v>339</v>
      </c>
      <c r="D31" s="45">
        <f>(C31-B31)/B31</f>
        <v>0.13</v>
      </c>
      <c r="E31" s="45"/>
      <c r="F31" s="44">
        <f>[1]March!F31+B31</f>
        <v>1181</v>
      </c>
      <c r="G31" s="44">
        <f>[1]March!G31+C31</f>
        <v>1359</v>
      </c>
      <c r="H31" s="45">
        <f>(G31-F31)/F31</f>
        <v>0.15071972904318373</v>
      </c>
    </row>
    <row r="32" spans="1:8" x14ac:dyDescent="0.3">
      <c r="A32" s="46" t="s">
        <v>286</v>
      </c>
      <c r="B32" s="44">
        <v>12000</v>
      </c>
      <c r="C32" s="44">
        <v>11590</v>
      </c>
      <c r="D32" s="45">
        <f>(C32-B32)/B32</f>
        <v>-3.4166666666666665E-2</v>
      </c>
      <c r="E32" s="45"/>
      <c r="F32" s="44">
        <f>[1]March!F32+B32</f>
        <v>29400</v>
      </c>
      <c r="G32" s="44">
        <f>[1]March!G32+C32</f>
        <v>21451</v>
      </c>
      <c r="H32" s="45">
        <f>(G32-F32)/F32</f>
        <v>-0.27037414965986395</v>
      </c>
    </row>
    <row r="33" spans="1:8" x14ac:dyDescent="0.3">
      <c r="A33" t="s">
        <v>287</v>
      </c>
      <c r="B33" s="44">
        <v>231</v>
      </c>
      <c r="C33" s="44">
        <v>180</v>
      </c>
      <c r="D33" s="45">
        <f>(C33-B33)/B33</f>
        <v>-0.22077922077922077</v>
      </c>
      <c r="E33" s="45"/>
      <c r="F33" s="44">
        <f>[1]March!F33+B33</f>
        <v>854</v>
      </c>
      <c r="G33" s="44">
        <f>[1]March!G33+C33</f>
        <v>705</v>
      </c>
      <c r="H33" s="45">
        <f>(G33-F33)/F33</f>
        <v>-0.17447306791569087</v>
      </c>
    </row>
    <row r="34" spans="1:8" x14ac:dyDescent="0.3">
      <c r="B34" s="44"/>
      <c r="C34" s="44"/>
      <c r="D34" s="45"/>
      <c r="E34" s="45"/>
      <c r="F34" s="44"/>
      <c r="G34" s="44"/>
      <c r="H34" s="45"/>
    </row>
    <row r="35" spans="1:8" x14ac:dyDescent="0.3">
      <c r="A35" t="s">
        <v>288</v>
      </c>
      <c r="B35" s="44">
        <v>23</v>
      </c>
      <c r="C35" s="44">
        <v>38</v>
      </c>
      <c r="D35" s="45">
        <f>(C35-B35)/B35</f>
        <v>0.65217391304347827</v>
      </c>
      <c r="E35" s="45"/>
      <c r="F35" s="44">
        <f>[1]March!F35+B35</f>
        <v>90</v>
      </c>
      <c r="G35" s="44">
        <f>[1]March!G35+C35</f>
        <v>127</v>
      </c>
      <c r="H35" s="45">
        <f>(G35-F35)/F35</f>
        <v>0.41111111111111109</v>
      </c>
    </row>
  </sheetData>
  <pageMargins left="0.7" right="0.7" top="0.8833333333333333" bottom="0.75" header="0.3" footer="0.3"/>
  <pageSetup orientation="portrait" r:id="rId1"/>
  <headerFooter>
    <oddHeader xml:space="preserve">&amp;C&amp;"-,Bold"&amp;14Berthoud Community Library
Statistics April 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756D-A9CC-4531-9618-81CAD3C72275}">
  <dimension ref="A1:B69"/>
  <sheetViews>
    <sheetView workbookViewId="0">
      <selection activeCell="B65" sqref="B65"/>
    </sheetView>
  </sheetViews>
  <sheetFormatPr defaultColWidth="12.44140625" defaultRowHeight="15.6" x14ac:dyDescent="0.3"/>
  <cols>
    <col min="1" max="1" width="35.109375" style="8" customWidth="1"/>
    <col min="2" max="2" width="17.88671875" style="8" customWidth="1"/>
    <col min="3" max="16384" width="12.44140625" style="3"/>
  </cols>
  <sheetData>
    <row r="1" spans="1:2" x14ac:dyDescent="0.3">
      <c r="A1" s="1" t="s">
        <v>0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2</v>
      </c>
      <c r="B3" s="2"/>
    </row>
    <row r="5" spans="1:2" x14ac:dyDescent="0.3">
      <c r="A5" s="6" t="s">
        <v>3</v>
      </c>
      <c r="B5" s="6" t="s">
        <v>4</v>
      </c>
    </row>
    <row r="6" spans="1:2" x14ac:dyDescent="0.3">
      <c r="A6" s="7" t="s">
        <v>5</v>
      </c>
    </row>
    <row r="7" spans="1:2" x14ac:dyDescent="0.3">
      <c r="A7" s="9" t="s">
        <v>6</v>
      </c>
    </row>
    <row r="8" spans="1:2" x14ac:dyDescent="0.3">
      <c r="A8" s="10" t="s">
        <v>7</v>
      </c>
    </row>
    <row r="9" spans="1:2" x14ac:dyDescent="0.3">
      <c r="A9" s="11" t="s">
        <v>8</v>
      </c>
      <c r="B9" s="12">
        <v>1015093.11</v>
      </c>
    </row>
    <row r="10" spans="1:2" x14ac:dyDescent="0.3">
      <c r="A10" s="11" t="s">
        <v>9</v>
      </c>
      <c r="B10" s="12">
        <v>209003.97</v>
      </c>
    </row>
    <row r="11" spans="1:2" x14ac:dyDescent="0.3">
      <c r="A11" s="11" t="s">
        <v>10</v>
      </c>
      <c r="B11" s="12">
        <v>244562.81</v>
      </c>
    </row>
    <row r="12" spans="1:2" x14ac:dyDescent="0.3">
      <c r="A12" s="13" t="s">
        <v>11</v>
      </c>
      <c r="B12" s="12">
        <v>0</v>
      </c>
    </row>
    <row r="13" spans="1:2" x14ac:dyDescent="0.3">
      <c r="A13" s="11" t="s">
        <v>13</v>
      </c>
      <c r="B13" s="12">
        <v>140</v>
      </c>
    </row>
    <row r="14" spans="1:2" x14ac:dyDescent="0.3">
      <c r="A14" s="16" t="s">
        <v>14</v>
      </c>
      <c r="B14" s="15">
        <f>SUM(B9:B13)</f>
        <v>1468799.8900000001</v>
      </c>
    </row>
    <row r="15" spans="1:2" x14ac:dyDescent="0.3">
      <c r="A15" s="10" t="s">
        <v>15</v>
      </c>
    </row>
    <row r="16" spans="1:2" x14ac:dyDescent="0.3">
      <c r="A16" s="11" t="s">
        <v>16</v>
      </c>
      <c r="B16" s="12">
        <v>932698</v>
      </c>
    </row>
    <row r="17" spans="1:2" x14ac:dyDescent="0.3">
      <c r="A17" s="16" t="s">
        <v>17</v>
      </c>
      <c r="B17" s="15">
        <f>B15+B16</f>
        <v>932698</v>
      </c>
    </row>
    <row r="18" spans="1:2" x14ac:dyDescent="0.3">
      <c r="A18" s="10" t="s">
        <v>18</v>
      </c>
    </row>
    <row r="19" spans="1:2" x14ac:dyDescent="0.3">
      <c r="A19" s="11" t="s">
        <v>19</v>
      </c>
      <c r="B19" s="12">
        <v>0</v>
      </c>
    </row>
    <row r="20" spans="1:2" x14ac:dyDescent="0.3">
      <c r="A20" s="11" t="s">
        <v>20</v>
      </c>
      <c r="B20" s="12">
        <v>0</v>
      </c>
    </row>
    <row r="21" spans="1:2" x14ac:dyDescent="0.3">
      <c r="A21" s="11" t="s">
        <v>21</v>
      </c>
      <c r="B21" s="12">
        <v>13518.6</v>
      </c>
    </row>
    <row r="22" spans="1:2" x14ac:dyDescent="0.3">
      <c r="A22" s="11" t="s">
        <v>22</v>
      </c>
      <c r="B22" s="12">
        <v>0</v>
      </c>
    </row>
    <row r="23" spans="1:2" x14ac:dyDescent="0.3">
      <c r="A23" s="16" t="s">
        <v>23</v>
      </c>
      <c r="B23" s="15">
        <f>B18+B19+B20+B21+B22</f>
        <v>13518.6</v>
      </c>
    </row>
    <row r="24" spans="1:2" x14ac:dyDescent="0.3">
      <c r="A24" s="17" t="s">
        <v>24</v>
      </c>
      <c r="B24" s="15">
        <f>B7+B14+B23</f>
        <v>1482318.4900000002</v>
      </c>
    </row>
    <row r="25" spans="1:2" x14ac:dyDescent="0.3">
      <c r="A25" s="9" t="s">
        <v>25</v>
      </c>
    </row>
    <row r="26" spans="1:2" x14ac:dyDescent="0.3">
      <c r="A26" s="10" t="s">
        <v>26</v>
      </c>
      <c r="B26" s="12">
        <v>0</v>
      </c>
    </row>
    <row r="27" spans="1:2" x14ac:dyDescent="0.3">
      <c r="A27" s="10" t="s">
        <v>27</v>
      </c>
      <c r="B27" s="12">
        <v>0</v>
      </c>
    </row>
    <row r="28" spans="1:2" x14ac:dyDescent="0.3">
      <c r="A28" s="17" t="s">
        <v>28</v>
      </c>
      <c r="B28" s="15">
        <f>B25+B26+B27</f>
        <v>0</v>
      </c>
    </row>
    <row r="29" spans="1:2" x14ac:dyDescent="0.3">
      <c r="A29" s="9" t="s">
        <v>29</v>
      </c>
    </row>
    <row r="30" spans="1:2" x14ac:dyDescent="0.3">
      <c r="A30" s="10" t="s">
        <v>30</v>
      </c>
      <c r="B30" s="12">
        <v>0</v>
      </c>
    </row>
    <row r="31" spans="1:2" x14ac:dyDescent="0.3">
      <c r="A31" s="17" t="s">
        <v>31</v>
      </c>
      <c r="B31" s="15">
        <f>B29+B30</f>
        <v>0</v>
      </c>
    </row>
    <row r="32" spans="1:2" x14ac:dyDescent="0.3">
      <c r="A32" s="18" t="s">
        <v>32</v>
      </c>
      <c r="B32" s="15">
        <f>B24+B28+B31</f>
        <v>1482318.4900000002</v>
      </c>
    </row>
    <row r="33" spans="1:2" x14ac:dyDescent="0.3">
      <c r="A33" s="7" t="s">
        <v>33</v>
      </c>
    </row>
    <row r="34" spans="1:2" x14ac:dyDescent="0.3">
      <c r="A34" s="9" t="s">
        <v>34</v>
      </c>
    </row>
    <row r="35" spans="1:2" x14ac:dyDescent="0.3">
      <c r="A35" s="10" t="s">
        <v>35</v>
      </c>
    </row>
    <row r="36" spans="1:2" x14ac:dyDescent="0.3">
      <c r="A36" s="11" t="s">
        <v>36</v>
      </c>
    </row>
    <row r="37" spans="1:2" x14ac:dyDescent="0.3">
      <c r="A37" s="13" t="s">
        <v>37</v>
      </c>
      <c r="B37" s="12">
        <v>1044.43</v>
      </c>
    </row>
    <row r="38" spans="1:2" x14ac:dyDescent="0.3">
      <c r="A38" s="14" t="s">
        <v>38</v>
      </c>
      <c r="B38" s="15">
        <f>B36+B37</f>
        <v>1044.43</v>
      </c>
    </row>
    <row r="39" spans="1:2" x14ac:dyDescent="0.3">
      <c r="A39" s="11" t="s">
        <v>39</v>
      </c>
    </row>
    <row r="40" spans="1:2" x14ac:dyDescent="0.3">
      <c r="A40" s="13" t="s">
        <v>40</v>
      </c>
      <c r="B40" s="12">
        <v>37.64</v>
      </c>
    </row>
    <row r="41" spans="1:2" x14ac:dyDescent="0.3">
      <c r="A41" s="19" t="s">
        <v>41</v>
      </c>
      <c r="B41" s="12">
        <v>236</v>
      </c>
    </row>
    <row r="42" spans="1:2" x14ac:dyDescent="0.3">
      <c r="A42" s="19" t="s">
        <v>42</v>
      </c>
      <c r="B42" s="12">
        <v>-734.94</v>
      </c>
    </row>
    <row r="43" spans="1:2" x14ac:dyDescent="0.3">
      <c r="A43" s="19" t="s">
        <v>43</v>
      </c>
      <c r="B43" s="12">
        <v>1481.65</v>
      </c>
    </row>
    <row r="44" spans="1:2" x14ac:dyDescent="0.3">
      <c r="A44" s="19" t="s">
        <v>44</v>
      </c>
      <c r="B44" s="12">
        <v>39.159999999999997</v>
      </c>
    </row>
    <row r="45" spans="1:2" x14ac:dyDescent="0.3">
      <c r="A45" s="20" t="s">
        <v>45</v>
      </c>
      <c r="B45" s="15">
        <f>B40+B41+B42+B43+B44</f>
        <v>1059.51</v>
      </c>
    </row>
    <row r="46" spans="1:2" x14ac:dyDescent="0.3">
      <c r="A46" s="13" t="s">
        <v>46</v>
      </c>
      <c r="B46" s="12">
        <v>-466.28</v>
      </c>
    </row>
    <row r="47" spans="1:2" x14ac:dyDescent="0.3">
      <c r="A47" s="13" t="s">
        <v>47</v>
      </c>
      <c r="B47" s="12">
        <v>932698</v>
      </c>
    </row>
    <row r="48" spans="1:2" x14ac:dyDescent="0.3">
      <c r="A48" s="13" t="s">
        <v>48</v>
      </c>
      <c r="B48" s="12">
        <v>0</v>
      </c>
    </row>
    <row r="49" spans="1:2" x14ac:dyDescent="0.3">
      <c r="A49" s="14" t="s">
        <v>49</v>
      </c>
      <c r="B49" s="15">
        <f>B39+B45+B46+B47+B48</f>
        <v>933291.23</v>
      </c>
    </row>
    <row r="50" spans="1:2" x14ac:dyDescent="0.3">
      <c r="A50" s="16" t="s">
        <v>50</v>
      </c>
      <c r="B50" s="15">
        <f>B35+B38+B49</f>
        <v>934335.66</v>
      </c>
    </row>
    <row r="51" spans="1:2" x14ac:dyDescent="0.3">
      <c r="A51" s="10" t="s">
        <v>51</v>
      </c>
    </row>
    <row r="52" spans="1:2" x14ac:dyDescent="0.3">
      <c r="A52" s="11" t="s">
        <v>52</v>
      </c>
      <c r="B52" s="12">
        <v>0</v>
      </c>
    </row>
    <row r="53" spans="1:2" x14ac:dyDescent="0.3">
      <c r="A53" s="16" t="s">
        <v>53</v>
      </c>
      <c r="B53" s="15">
        <f>B51+B52</f>
        <v>0</v>
      </c>
    </row>
    <row r="54" spans="1:2" x14ac:dyDescent="0.3">
      <c r="A54" s="17" t="s">
        <v>54</v>
      </c>
      <c r="B54" s="15">
        <f>B34+B50+B53</f>
        <v>934335.66</v>
      </c>
    </row>
    <row r="55" spans="1:2" x14ac:dyDescent="0.3">
      <c r="A55" s="9" t="s">
        <v>55</v>
      </c>
    </row>
    <row r="56" spans="1:2" x14ac:dyDescent="0.3">
      <c r="A56" s="10" t="s">
        <v>56</v>
      </c>
      <c r="B56" s="12">
        <v>0</v>
      </c>
    </row>
    <row r="57" spans="1:2" x14ac:dyDescent="0.3">
      <c r="A57" s="10" t="s">
        <v>57</v>
      </c>
      <c r="B57" s="12">
        <v>0</v>
      </c>
    </row>
    <row r="58" spans="1:2" x14ac:dyDescent="0.3">
      <c r="A58" s="10" t="s">
        <v>58</v>
      </c>
      <c r="B58" s="12">
        <v>13107.9</v>
      </c>
    </row>
    <row r="59" spans="1:2" x14ac:dyDescent="0.3">
      <c r="A59" s="10" t="s">
        <v>59</v>
      </c>
      <c r="B59" s="12">
        <v>12806.56</v>
      </c>
    </row>
    <row r="60" spans="1:2" x14ac:dyDescent="0.3">
      <c r="A60" s="10" t="s">
        <v>60</v>
      </c>
      <c r="B60" s="12">
        <v>0</v>
      </c>
    </row>
    <row r="61" spans="1:2" x14ac:dyDescent="0.3">
      <c r="A61" s="10" t="s">
        <v>61</v>
      </c>
      <c r="B61" s="12">
        <v>30000</v>
      </c>
    </row>
    <row r="62" spans="1:2" x14ac:dyDescent="0.3">
      <c r="A62" s="10" t="s">
        <v>62</v>
      </c>
      <c r="B62" s="12">
        <v>1166071.1999999967</v>
      </c>
    </row>
    <row r="63" spans="1:2" x14ac:dyDescent="0.3">
      <c r="A63" s="10" t="s">
        <v>63</v>
      </c>
      <c r="B63" s="12">
        <v>258695.17000000013</v>
      </c>
    </row>
    <row r="64" spans="1:2" x14ac:dyDescent="0.3">
      <c r="A64" s="17" t="s">
        <v>64</v>
      </c>
      <c r="B64" s="15">
        <f>B55+B56+B57+B58+B59+B60+B61+B62+B63</f>
        <v>1480680.8299999968</v>
      </c>
    </row>
    <row r="65" spans="1:2" x14ac:dyDescent="0.3">
      <c r="A65" s="18" t="s">
        <v>65</v>
      </c>
      <c r="B65" s="15">
        <f>B64-B45</f>
        <v>1479621.3199999968</v>
      </c>
    </row>
    <row r="69" spans="1:2" x14ac:dyDescent="0.3">
      <c r="A69" s="21" t="s">
        <v>66</v>
      </c>
      <c r="B69" s="2"/>
    </row>
  </sheetData>
  <mergeCells count="4">
    <mergeCell ref="A1:B1"/>
    <mergeCell ref="A2:B2"/>
    <mergeCell ref="A3:B3"/>
    <mergeCell ref="A69:B6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E40C-DBD0-4073-8D56-024870DED481}">
  <dimension ref="A1:BA109"/>
  <sheetViews>
    <sheetView topLeftCell="A86" workbookViewId="0">
      <selection activeCell="AX99" sqref="AX99"/>
    </sheetView>
  </sheetViews>
  <sheetFormatPr defaultRowHeight="14.4" x14ac:dyDescent="0.3"/>
  <cols>
    <col min="1" max="1" width="29.33203125" style="24" customWidth="1"/>
    <col min="2" max="2" width="11.109375" style="24" hidden="1" customWidth="1"/>
    <col min="3" max="3" width="9.44140625" style="24" hidden="1" customWidth="1"/>
    <col min="4" max="4" width="11.109375" style="24" hidden="1" customWidth="1"/>
    <col min="5" max="5" width="9.44140625" style="24" hidden="1" customWidth="1"/>
    <col min="6" max="6" width="10.33203125" style="24" hidden="1" customWidth="1"/>
    <col min="7" max="7" width="9.44140625" style="24" hidden="1" customWidth="1"/>
    <col min="8" max="8" width="11.109375" style="24" hidden="1" customWidth="1"/>
    <col min="9" max="11" width="9.44140625" style="24" hidden="1" customWidth="1"/>
    <col min="12" max="12" width="11.109375" style="24" hidden="1" customWidth="1"/>
    <col min="13" max="13" width="7.6640625" style="24" hidden="1" customWidth="1"/>
    <col min="14" max="14" width="11.109375" style="24" hidden="1" customWidth="1"/>
    <col min="15" max="15" width="9.44140625" style="24" hidden="1" customWidth="1"/>
    <col min="16" max="16" width="11.109375" style="24" hidden="1" customWidth="1"/>
    <col min="17" max="17" width="8.5546875" style="24" hidden="1" customWidth="1"/>
    <col min="18" max="18" width="7.6640625" style="24" hidden="1" customWidth="1"/>
    <col min="19" max="19" width="9.44140625" style="24" hidden="1" customWidth="1"/>
    <col min="20" max="20" width="11.109375" style="24" hidden="1" customWidth="1"/>
    <col min="21" max="22" width="7.6640625" style="24" hidden="1" customWidth="1"/>
    <col min="23" max="23" width="9.44140625" style="24" hidden="1" customWidth="1"/>
    <col min="24" max="24" width="11.109375" style="24" hidden="1" customWidth="1"/>
    <col min="25" max="26" width="7.6640625" style="24" hidden="1" customWidth="1"/>
    <col min="27" max="27" width="9.44140625" style="24" hidden="1" customWidth="1"/>
    <col min="28" max="28" width="11.109375" style="24" hidden="1" customWidth="1"/>
    <col min="29" max="30" width="7.6640625" style="24" hidden="1" customWidth="1"/>
    <col min="31" max="31" width="9.44140625" style="24" hidden="1" customWidth="1"/>
    <col min="32" max="32" width="11.109375" style="24" hidden="1" customWidth="1"/>
    <col min="33" max="34" width="7.6640625" style="24" hidden="1" customWidth="1"/>
    <col min="35" max="35" width="9.44140625" style="24" hidden="1" customWidth="1"/>
    <col min="36" max="36" width="11.109375" style="24" hidden="1" customWidth="1"/>
    <col min="37" max="38" width="7.6640625" style="24" hidden="1" customWidth="1"/>
    <col min="39" max="39" width="9.44140625" style="24" hidden="1" customWidth="1"/>
    <col min="40" max="40" width="11.109375" style="24" hidden="1" customWidth="1"/>
    <col min="41" max="42" width="7.6640625" style="24" hidden="1" customWidth="1"/>
    <col min="43" max="43" width="9.44140625" style="24" hidden="1" customWidth="1"/>
    <col min="44" max="44" width="11.109375" style="24" hidden="1" customWidth="1"/>
    <col min="45" max="46" width="7.6640625" style="24" hidden="1" customWidth="1"/>
    <col min="47" max="47" width="9.44140625" style="24" hidden="1" customWidth="1"/>
    <col min="48" max="48" width="11.109375" style="24" hidden="1" customWidth="1"/>
    <col min="49" max="49" width="7.6640625" style="24" hidden="1" customWidth="1"/>
    <col min="50" max="50" width="10.33203125" style="24" customWidth="1"/>
    <col min="51" max="52" width="12" style="24" customWidth="1"/>
    <col min="53" max="53" width="7.6640625" style="24" customWidth="1"/>
    <col min="54" max="16384" width="8.88671875" style="24"/>
  </cols>
  <sheetData>
    <row r="1" spans="1:53" ht="17.399999999999999" x14ac:dyDescent="0.3">
      <c r="A1" s="22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</row>
    <row r="2" spans="1:53" ht="17.399999999999999" x14ac:dyDescent="0.3">
      <c r="A2" s="22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</row>
    <row r="3" spans="1:53" x14ac:dyDescent="0.3">
      <c r="A3" s="25" t="s">
        <v>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5" spans="1:53" x14ac:dyDescent="0.3">
      <c r="A5" s="26"/>
      <c r="B5" s="27" t="s">
        <v>69</v>
      </c>
      <c r="C5" s="28"/>
      <c r="D5" s="28"/>
      <c r="E5" s="28"/>
      <c r="F5" s="27" t="s">
        <v>70</v>
      </c>
      <c r="G5" s="28"/>
      <c r="H5" s="28"/>
      <c r="I5" s="28"/>
      <c r="J5" s="27" t="s">
        <v>71</v>
      </c>
      <c r="K5" s="28"/>
      <c r="L5" s="28"/>
      <c r="M5" s="28"/>
      <c r="N5" s="27" t="s">
        <v>72</v>
      </c>
      <c r="O5" s="28"/>
      <c r="P5" s="28"/>
      <c r="Q5" s="28"/>
      <c r="R5" s="27" t="s">
        <v>73</v>
      </c>
      <c r="S5" s="28"/>
      <c r="T5" s="28"/>
      <c r="U5" s="28"/>
      <c r="V5" s="27" t="s">
        <v>74</v>
      </c>
      <c r="W5" s="28"/>
      <c r="X5" s="28"/>
      <c r="Y5" s="28"/>
      <c r="Z5" s="27" t="s">
        <v>75</v>
      </c>
      <c r="AA5" s="28"/>
      <c r="AB5" s="28"/>
      <c r="AC5" s="28"/>
      <c r="AD5" s="27" t="s">
        <v>76</v>
      </c>
      <c r="AE5" s="28"/>
      <c r="AF5" s="28"/>
      <c r="AG5" s="28"/>
      <c r="AH5" s="27" t="s">
        <v>77</v>
      </c>
      <c r="AI5" s="28"/>
      <c r="AJ5" s="28"/>
      <c r="AK5" s="28"/>
      <c r="AL5" s="27" t="s">
        <v>78</v>
      </c>
      <c r="AM5" s="28"/>
      <c r="AN5" s="28"/>
      <c r="AO5" s="28"/>
      <c r="AP5" s="27" t="s">
        <v>79</v>
      </c>
      <c r="AQ5" s="28"/>
      <c r="AR5" s="28"/>
      <c r="AS5" s="28"/>
      <c r="AT5" s="27" t="s">
        <v>80</v>
      </c>
      <c r="AU5" s="28"/>
      <c r="AV5" s="28"/>
      <c r="AW5" s="28"/>
      <c r="AX5" s="27" t="s">
        <v>4</v>
      </c>
      <c r="AY5" s="28"/>
      <c r="AZ5" s="28"/>
      <c r="BA5" s="28"/>
    </row>
    <row r="6" spans="1:53" ht="24.6" x14ac:dyDescent="0.3">
      <c r="A6" s="26"/>
      <c r="B6" s="29" t="s">
        <v>81</v>
      </c>
      <c r="C6" s="29" t="s">
        <v>82</v>
      </c>
      <c r="D6" s="29" t="s">
        <v>83</v>
      </c>
      <c r="E6" s="29" t="s">
        <v>84</v>
      </c>
      <c r="F6" s="29" t="s">
        <v>81</v>
      </c>
      <c r="G6" s="29" t="s">
        <v>82</v>
      </c>
      <c r="H6" s="29" t="s">
        <v>83</v>
      </c>
      <c r="I6" s="29" t="s">
        <v>84</v>
      </c>
      <c r="J6" s="29" t="s">
        <v>81</v>
      </c>
      <c r="K6" s="29" t="s">
        <v>82</v>
      </c>
      <c r="L6" s="29" t="s">
        <v>83</v>
      </c>
      <c r="M6" s="29" t="s">
        <v>84</v>
      </c>
      <c r="N6" s="29" t="s">
        <v>81</v>
      </c>
      <c r="O6" s="29" t="s">
        <v>82</v>
      </c>
      <c r="P6" s="29" t="s">
        <v>83</v>
      </c>
      <c r="Q6" s="29" t="s">
        <v>84</v>
      </c>
      <c r="R6" s="29" t="s">
        <v>81</v>
      </c>
      <c r="S6" s="29" t="s">
        <v>82</v>
      </c>
      <c r="T6" s="29" t="s">
        <v>83</v>
      </c>
      <c r="U6" s="29" t="s">
        <v>84</v>
      </c>
      <c r="V6" s="29" t="s">
        <v>81</v>
      </c>
      <c r="W6" s="29" t="s">
        <v>82</v>
      </c>
      <c r="X6" s="29" t="s">
        <v>83</v>
      </c>
      <c r="Y6" s="29" t="s">
        <v>84</v>
      </c>
      <c r="Z6" s="29" t="s">
        <v>81</v>
      </c>
      <c r="AA6" s="29" t="s">
        <v>82</v>
      </c>
      <c r="AB6" s="29" t="s">
        <v>83</v>
      </c>
      <c r="AC6" s="29" t="s">
        <v>84</v>
      </c>
      <c r="AD6" s="29" t="s">
        <v>81</v>
      </c>
      <c r="AE6" s="29" t="s">
        <v>82</v>
      </c>
      <c r="AF6" s="29" t="s">
        <v>83</v>
      </c>
      <c r="AG6" s="29" t="s">
        <v>84</v>
      </c>
      <c r="AH6" s="29" t="s">
        <v>81</v>
      </c>
      <c r="AI6" s="29" t="s">
        <v>82</v>
      </c>
      <c r="AJ6" s="29" t="s">
        <v>83</v>
      </c>
      <c r="AK6" s="29" t="s">
        <v>84</v>
      </c>
      <c r="AL6" s="29" t="s">
        <v>81</v>
      </c>
      <c r="AM6" s="29" t="s">
        <v>82</v>
      </c>
      <c r="AN6" s="29" t="s">
        <v>83</v>
      </c>
      <c r="AO6" s="29" t="s">
        <v>84</v>
      </c>
      <c r="AP6" s="29" t="s">
        <v>81</v>
      </c>
      <c r="AQ6" s="29" t="s">
        <v>82</v>
      </c>
      <c r="AR6" s="29" t="s">
        <v>83</v>
      </c>
      <c r="AS6" s="29" t="s">
        <v>84</v>
      </c>
      <c r="AT6" s="29" t="s">
        <v>81</v>
      </c>
      <c r="AU6" s="29" t="s">
        <v>82</v>
      </c>
      <c r="AV6" s="29" t="s">
        <v>83</v>
      </c>
      <c r="AW6" s="29" t="s">
        <v>84</v>
      </c>
      <c r="AX6" s="29" t="s">
        <v>81</v>
      </c>
      <c r="AY6" s="29" t="s">
        <v>82</v>
      </c>
      <c r="AZ6" s="29" t="s">
        <v>83</v>
      </c>
      <c r="BA6" s="29" t="s">
        <v>84</v>
      </c>
    </row>
    <row r="7" spans="1:53" x14ac:dyDescent="0.3">
      <c r="A7" s="30" t="s">
        <v>85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</row>
    <row r="8" spans="1:53" x14ac:dyDescent="0.3">
      <c r="A8" s="30" t="s">
        <v>86</v>
      </c>
      <c r="B8" s="31"/>
      <c r="C8" s="31"/>
      <c r="D8" s="32">
        <f t="shared" ref="D8:D18" si="0">(B8)-(C8)</f>
        <v>0</v>
      </c>
      <c r="E8" s="33" t="str">
        <f t="shared" ref="E8:E18" si="1">IF(C8=0,"",(B8)/(C8))</f>
        <v/>
      </c>
      <c r="F8" s="31"/>
      <c r="G8" s="31"/>
      <c r="H8" s="32">
        <f t="shared" ref="H8:H18" si="2">(F8)-(G8)</f>
        <v>0</v>
      </c>
      <c r="I8" s="33" t="str">
        <f t="shared" ref="I8:I18" si="3">IF(G8=0,"",(F8)/(G8))</f>
        <v/>
      </c>
      <c r="J8" s="31"/>
      <c r="K8" s="31"/>
      <c r="L8" s="32">
        <f t="shared" ref="L8:L18" si="4">(J8)-(K8)</f>
        <v>0</v>
      </c>
      <c r="M8" s="33" t="str">
        <f t="shared" ref="M8:M18" si="5">IF(K8=0,"",(J8)/(K8))</f>
        <v/>
      </c>
      <c r="N8" s="31"/>
      <c r="O8" s="31"/>
      <c r="P8" s="32">
        <f t="shared" ref="P8:P18" si="6">(N8)-(O8)</f>
        <v>0</v>
      </c>
      <c r="Q8" s="33" t="str">
        <f t="shared" ref="Q8:Q18" si="7">IF(O8=0,"",(N8)/(O8))</f>
        <v/>
      </c>
      <c r="R8" s="31"/>
      <c r="S8" s="31"/>
      <c r="T8" s="32">
        <f t="shared" ref="T8:T18" si="8">(R8)-(S8)</f>
        <v>0</v>
      </c>
      <c r="U8" s="33" t="str">
        <f t="shared" ref="U8:U18" si="9">IF(S8=0,"",(R8)/(S8))</f>
        <v/>
      </c>
      <c r="V8" s="31"/>
      <c r="W8" s="31"/>
      <c r="X8" s="32">
        <f t="shared" ref="X8:X18" si="10">(V8)-(W8)</f>
        <v>0</v>
      </c>
      <c r="Y8" s="33" t="str">
        <f t="shared" ref="Y8:Y18" si="11">IF(W8=0,"",(V8)/(W8))</f>
        <v/>
      </c>
      <c r="Z8" s="31"/>
      <c r="AA8" s="31"/>
      <c r="AB8" s="32">
        <f t="shared" ref="AB8:AB18" si="12">(Z8)-(AA8)</f>
        <v>0</v>
      </c>
      <c r="AC8" s="33" t="str">
        <f t="shared" ref="AC8:AC18" si="13">IF(AA8=0,"",(Z8)/(AA8))</f>
        <v/>
      </c>
      <c r="AD8" s="31"/>
      <c r="AE8" s="31"/>
      <c r="AF8" s="32">
        <f t="shared" ref="AF8:AF18" si="14">(AD8)-(AE8)</f>
        <v>0</v>
      </c>
      <c r="AG8" s="33" t="str">
        <f t="shared" ref="AG8:AG18" si="15">IF(AE8=0,"",(AD8)/(AE8))</f>
        <v/>
      </c>
      <c r="AH8" s="31"/>
      <c r="AI8" s="31"/>
      <c r="AJ8" s="32">
        <f t="shared" ref="AJ8:AJ18" si="16">(AH8)-(AI8)</f>
        <v>0</v>
      </c>
      <c r="AK8" s="33" t="str">
        <f t="shared" ref="AK8:AK18" si="17">IF(AI8=0,"",(AH8)/(AI8))</f>
        <v/>
      </c>
      <c r="AL8" s="31"/>
      <c r="AM8" s="31"/>
      <c r="AN8" s="32">
        <f t="shared" ref="AN8:AN18" si="18">(AL8)-(AM8)</f>
        <v>0</v>
      </c>
      <c r="AO8" s="33" t="str">
        <f t="shared" ref="AO8:AO18" si="19">IF(AM8=0,"",(AL8)/(AM8))</f>
        <v/>
      </c>
      <c r="AP8" s="31"/>
      <c r="AQ8" s="31"/>
      <c r="AR8" s="32">
        <f t="shared" ref="AR8:AR18" si="20">(AP8)-(AQ8)</f>
        <v>0</v>
      </c>
      <c r="AS8" s="33" t="str">
        <f t="shared" ref="AS8:AS18" si="21">IF(AQ8=0,"",(AP8)/(AQ8))</f>
        <v/>
      </c>
      <c r="AT8" s="31"/>
      <c r="AU8" s="31"/>
      <c r="AV8" s="32">
        <f t="shared" ref="AV8:AV18" si="22">(AT8)-(AU8)</f>
        <v>0</v>
      </c>
      <c r="AW8" s="33" t="str">
        <f t="shared" ref="AW8:AW18" si="23">IF(AU8=0,"",(AT8)/(AU8))</f>
        <v/>
      </c>
      <c r="AX8" s="32">
        <f t="shared" ref="AX8:AY18" si="24">(((((((((((B8)+(F8))+(J8))+(N8))+(R8))+(V8))+(Z8))+(AD8))+(AH8))+(AL8))+(AP8))+(AT8)</f>
        <v>0</v>
      </c>
      <c r="AY8" s="32">
        <f t="shared" si="24"/>
        <v>0</v>
      </c>
      <c r="AZ8" s="32">
        <f t="shared" ref="AZ8:AZ18" si="25">(AX8)-(AY8)</f>
        <v>0</v>
      </c>
      <c r="BA8" s="33" t="str">
        <f t="shared" ref="BA8:BA18" si="26">IF(AY8=0,"",(AX8)/(AY8))</f>
        <v/>
      </c>
    </row>
    <row r="9" spans="1:53" x14ac:dyDescent="0.3">
      <c r="A9" s="30" t="s">
        <v>87</v>
      </c>
      <c r="B9" s="31"/>
      <c r="C9" s="32">
        <f>583.33</f>
        <v>583.33000000000004</v>
      </c>
      <c r="D9" s="32">
        <f t="shared" si="0"/>
        <v>-583.33000000000004</v>
      </c>
      <c r="E9" s="33">
        <f t="shared" si="1"/>
        <v>0</v>
      </c>
      <c r="F9" s="31"/>
      <c r="G9" s="32">
        <f>583.33</f>
        <v>583.33000000000004</v>
      </c>
      <c r="H9" s="32">
        <f t="shared" si="2"/>
        <v>-583.33000000000004</v>
      </c>
      <c r="I9" s="33">
        <f t="shared" si="3"/>
        <v>0</v>
      </c>
      <c r="J9" s="31"/>
      <c r="K9" s="32">
        <f>583.33</f>
        <v>583.33000000000004</v>
      </c>
      <c r="L9" s="32">
        <f t="shared" si="4"/>
        <v>-583.33000000000004</v>
      </c>
      <c r="M9" s="33">
        <f t="shared" si="5"/>
        <v>0</v>
      </c>
      <c r="N9" s="31"/>
      <c r="O9" s="32">
        <f>583.33</f>
        <v>583.33000000000004</v>
      </c>
      <c r="P9" s="32">
        <f t="shared" si="6"/>
        <v>-583.33000000000004</v>
      </c>
      <c r="Q9" s="33">
        <f t="shared" si="7"/>
        <v>0</v>
      </c>
      <c r="R9" s="31"/>
      <c r="S9" s="32">
        <f>583.33</f>
        <v>583.33000000000004</v>
      </c>
      <c r="T9" s="32">
        <f t="shared" si="8"/>
        <v>-583.33000000000004</v>
      </c>
      <c r="U9" s="33">
        <f t="shared" si="9"/>
        <v>0</v>
      </c>
      <c r="V9" s="31"/>
      <c r="W9" s="32">
        <f>583.33</f>
        <v>583.33000000000004</v>
      </c>
      <c r="X9" s="32">
        <f t="shared" si="10"/>
        <v>-583.33000000000004</v>
      </c>
      <c r="Y9" s="33">
        <f t="shared" si="11"/>
        <v>0</v>
      </c>
      <c r="Z9" s="31"/>
      <c r="AA9" s="32">
        <f>583.33</f>
        <v>583.33000000000004</v>
      </c>
      <c r="AB9" s="32">
        <f t="shared" si="12"/>
        <v>-583.33000000000004</v>
      </c>
      <c r="AC9" s="33">
        <f t="shared" si="13"/>
        <v>0</v>
      </c>
      <c r="AD9" s="31"/>
      <c r="AE9" s="32">
        <f>583.33</f>
        <v>583.33000000000004</v>
      </c>
      <c r="AF9" s="32">
        <f t="shared" si="14"/>
        <v>-583.33000000000004</v>
      </c>
      <c r="AG9" s="33">
        <f t="shared" si="15"/>
        <v>0</v>
      </c>
      <c r="AH9" s="31"/>
      <c r="AI9" s="32">
        <f>583.33</f>
        <v>583.33000000000004</v>
      </c>
      <c r="AJ9" s="32">
        <f t="shared" si="16"/>
        <v>-583.33000000000004</v>
      </c>
      <c r="AK9" s="33">
        <f t="shared" si="17"/>
        <v>0</v>
      </c>
      <c r="AL9" s="31"/>
      <c r="AM9" s="32">
        <f>583.33</f>
        <v>583.33000000000004</v>
      </c>
      <c r="AN9" s="32">
        <f t="shared" si="18"/>
        <v>-583.33000000000004</v>
      </c>
      <c r="AO9" s="33">
        <f t="shared" si="19"/>
        <v>0</v>
      </c>
      <c r="AP9" s="31"/>
      <c r="AQ9" s="32">
        <f>583.33</f>
        <v>583.33000000000004</v>
      </c>
      <c r="AR9" s="32">
        <f t="shared" si="20"/>
        <v>-583.33000000000004</v>
      </c>
      <c r="AS9" s="33">
        <f t="shared" si="21"/>
        <v>0</v>
      </c>
      <c r="AT9" s="31"/>
      <c r="AU9" s="32">
        <f>583.37</f>
        <v>583.37</v>
      </c>
      <c r="AV9" s="32">
        <f t="shared" si="22"/>
        <v>-583.37</v>
      </c>
      <c r="AW9" s="33">
        <f t="shared" si="23"/>
        <v>0</v>
      </c>
      <c r="AX9" s="32">
        <f t="shared" si="24"/>
        <v>0</v>
      </c>
      <c r="AY9" s="32">
        <f t="shared" si="24"/>
        <v>7000</v>
      </c>
      <c r="AZ9" s="32">
        <f t="shared" si="25"/>
        <v>-7000</v>
      </c>
      <c r="BA9" s="33">
        <f t="shared" si="26"/>
        <v>0</v>
      </c>
    </row>
    <row r="10" spans="1:53" x14ac:dyDescent="0.3">
      <c r="A10" s="30" t="s">
        <v>88</v>
      </c>
      <c r="B10" s="31"/>
      <c r="C10" s="32">
        <f>291.67</f>
        <v>291.67</v>
      </c>
      <c r="D10" s="32">
        <f t="shared" si="0"/>
        <v>-291.67</v>
      </c>
      <c r="E10" s="33">
        <f t="shared" si="1"/>
        <v>0</v>
      </c>
      <c r="F10" s="32">
        <f>1256.8</f>
        <v>1256.8</v>
      </c>
      <c r="G10" s="32">
        <f>291.67</f>
        <v>291.67</v>
      </c>
      <c r="H10" s="32">
        <f t="shared" si="2"/>
        <v>965.12999999999988</v>
      </c>
      <c r="I10" s="33">
        <f t="shared" si="3"/>
        <v>4.3089793259505598</v>
      </c>
      <c r="J10" s="31"/>
      <c r="K10" s="32">
        <f>291.67</f>
        <v>291.67</v>
      </c>
      <c r="L10" s="32">
        <f t="shared" si="4"/>
        <v>-291.67</v>
      </c>
      <c r="M10" s="33">
        <f t="shared" si="5"/>
        <v>0</v>
      </c>
      <c r="N10" s="31"/>
      <c r="O10" s="32">
        <f>291.67</f>
        <v>291.67</v>
      </c>
      <c r="P10" s="32">
        <f t="shared" si="6"/>
        <v>-291.67</v>
      </c>
      <c r="Q10" s="33">
        <f t="shared" si="7"/>
        <v>0</v>
      </c>
      <c r="R10" s="31"/>
      <c r="S10" s="32">
        <f>291.67</f>
        <v>291.67</v>
      </c>
      <c r="T10" s="32">
        <f t="shared" si="8"/>
        <v>-291.67</v>
      </c>
      <c r="U10" s="33">
        <f t="shared" si="9"/>
        <v>0</v>
      </c>
      <c r="V10" s="31"/>
      <c r="W10" s="32">
        <f>291.67</f>
        <v>291.67</v>
      </c>
      <c r="X10" s="32">
        <f t="shared" si="10"/>
        <v>-291.67</v>
      </c>
      <c r="Y10" s="33">
        <f t="shared" si="11"/>
        <v>0</v>
      </c>
      <c r="Z10" s="31"/>
      <c r="AA10" s="32">
        <f>291.67</f>
        <v>291.67</v>
      </c>
      <c r="AB10" s="32">
        <f t="shared" si="12"/>
        <v>-291.67</v>
      </c>
      <c r="AC10" s="33">
        <f t="shared" si="13"/>
        <v>0</v>
      </c>
      <c r="AD10" s="31"/>
      <c r="AE10" s="32">
        <f>291.67</f>
        <v>291.67</v>
      </c>
      <c r="AF10" s="32">
        <f t="shared" si="14"/>
        <v>-291.67</v>
      </c>
      <c r="AG10" s="33">
        <f t="shared" si="15"/>
        <v>0</v>
      </c>
      <c r="AH10" s="31"/>
      <c r="AI10" s="32">
        <f>291.67</f>
        <v>291.67</v>
      </c>
      <c r="AJ10" s="32">
        <f t="shared" si="16"/>
        <v>-291.67</v>
      </c>
      <c r="AK10" s="33">
        <f t="shared" si="17"/>
        <v>0</v>
      </c>
      <c r="AL10" s="31"/>
      <c r="AM10" s="32">
        <f>291.67</f>
        <v>291.67</v>
      </c>
      <c r="AN10" s="32">
        <f t="shared" si="18"/>
        <v>-291.67</v>
      </c>
      <c r="AO10" s="33">
        <f t="shared" si="19"/>
        <v>0</v>
      </c>
      <c r="AP10" s="31"/>
      <c r="AQ10" s="32">
        <f>291.67</f>
        <v>291.67</v>
      </c>
      <c r="AR10" s="32">
        <f t="shared" si="20"/>
        <v>-291.67</v>
      </c>
      <c r="AS10" s="33">
        <f t="shared" si="21"/>
        <v>0</v>
      </c>
      <c r="AT10" s="31"/>
      <c r="AU10" s="32">
        <f>291.63</f>
        <v>291.63</v>
      </c>
      <c r="AV10" s="32">
        <f t="shared" si="22"/>
        <v>-291.63</v>
      </c>
      <c r="AW10" s="33">
        <f t="shared" si="23"/>
        <v>0</v>
      </c>
      <c r="AX10" s="32">
        <f t="shared" si="24"/>
        <v>1256.8</v>
      </c>
      <c r="AY10" s="32">
        <f t="shared" si="24"/>
        <v>3500.0000000000005</v>
      </c>
      <c r="AZ10" s="32">
        <f t="shared" si="25"/>
        <v>-2243.2000000000007</v>
      </c>
      <c r="BA10" s="33">
        <f t="shared" si="26"/>
        <v>0.35908571428571423</v>
      </c>
    </row>
    <row r="11" spans="1:53" x14ac:dyDescent="0.3">
      <c r="A11" s="30" t="s">
        <v>89</v>
      </c>
      <c r="B11" s="34">
        <f>((B8)+(B9))+(B10)</f>
        <v>0</v>
      </c>
      <c r="C11" s="34">
        <f>((C8)+(C9))+(C10)</f>
        <v>875</v>
      </c>
      <c r="D11" s="34">
        <f t="shared" si="0"/>
        <v>-875</v>
      </c>
      <c r="E11" s="35">
        <f t="shared" si="1"/>
        <v>0</v>
      </c>
      <c r="F11" s="34">
        <f>((F8)+(F9))+(F10)</f>
        <v>1256.8</v>
      </c>
      <c r="G11" s="34">
        <f>((G8)+(G9))+(G10)</f>
        <v>875</v>
      </c>
      <c r="H11" s="34">
        <f t="shared" si="2"/>
        <v>381.79999999999995</v>
      </c>
      <c r="I11" s="35">
        <f t="shared" si="3"/>
        <v>1.4363428571428571</v>
      </c>
      <c r="J11" s="34">
        <f>((J8)+(J9))+(J10)</f>
        <v>0</v>
      </c>
      <c r="K11" s="34">
        <f>((K8)+(K9))+(K10)</f>
        <v>875</v>
      </c>
      <c r="L11" s="34">
        <f t="shared" si="4"/>
        <v>-875</v>
      </c>
      <c r="M11" s="35">
        <f t="shared" si="5"/>
        <v>0</v>
      </c>
      <c r="N11" s="34">
        <f>((N8)+(N9))+(N10)</f>
        <v>0</v>
      </c>
      <c r="O11" s="34">
        <f>((O8)+(O9))+(O10)</f>
        <v>875</v>
      </c>
      <c r="P11" s="34">
        <f t="shared" si="6"/>
        <v>-875</v>
      </c>
      <c r="Q11" s="35">
        <f t="shared" si="7"/>
        <v>0</v>
      </c>
      <c r="R11" s="34">
        <f>((R8)+(R9))+(R10)</f>
        <v>0</v>
      </c>
      <c r="S11" s="34">
        <f>((S8)+(S9))+(S10)</f>
        <v>875</v>
      </c>
      <c r="T11" s="34">
        <f t="shared" si="8"/>
        <v>-875</v>
      </c>
      <c r="U11" s="35">
        <f t="shared" si="9"/>
        <v>0</v>
      </c>
      <c r="V11" s="34">
        <f>((V8)+(V9))+(V10)</f>
        <v>0</v>
      </c>
      <c r="W11" s="34">
        <f>((W8)+(W9))+(W10)</f>
        <v>875</v>
      </c>
      <c r="X11" s="34">
        <f t="shared" si="10"/>
        <v>-875</v>
      </c>
      <c r="Y11" s="35">
        <f t="shared" si="11"/>
        <v>0</v>
      </c>
      <c r="Z11" s="34">
        <f>((Z8)+(Z9))+(Z10)</f>
        <v>0</v>
      </c>
      <c r="AA11" s="34">
        <f>((AA8)+(AA9))+(AA10)</f>
        <v>875</v>
      </c>
      <c r="AB11" s="34">
        <f t="shared" si="12"/>
        <v>-875</v>
      </c>
      <c r="AC11" s="35">
        <f t="shared" si="13"/>
        <v>0</v>
      </c>
      <c r="AD11" s="34">
        <f>((AD8)+(AD9))+(AD10)</f>
        <v>0</v>
      </c>
      <c r="AE11" s="34">
        <f>((AE8)+(AE9))+(AE10)</f>
        <v>875</v>
      </c>
      <c r="AF11" s="34">
        <f t="shared" si="14"/>
        <v>-875</v>
      </c>
      <c r="AG11" s="35">
        <f t="shared" si="15"/>
        <v>0</v>
      </c>
      <c r="AH11" s="34">
        <f>((AH8)+(AH9))+(AH10)</f>
        <v>0</v>
      </c>
      <c r="AI11" s="34">
        <f>((AI8)+(AI9))+(AI10)</f>
        <v>875</v>
      </c>
      <c r="AJ11" s="34">
        <f t="shared" si="16"/>
        <v>-875</v>
      </c>
      <c r="AK11" s="35">
        <f t="shared" si="17"/>
        <v>0</v>
      </c>
      <c r="AL11" s="34">
        <f>((AL8)+(AL9))+(AL10)</f>
        <v>0</v>
      </c>
      <c r="AM11" s="34">
        <f>((AM8)+(AM9))+(AM10)</f>
        <v>875</v>
      </c>
      <c r="AN11" s="34">
        <f t="shared" si="18"/>
        <v>-875</v>
      </c>
      <c r="AO11" s="35">
        <f t="shared" si="19"/>
        <v>0</v>
      </c>
      <c r="AP11" s="34">
        <f>((AP8)+(AP9))+(AP10)</f>
        <v>0</v>
      </c>
      <c r="AQ11" s="34">
        <f>((AQ8)+(AQ9))+(AQ10)</f>
        <v>875</v>
      </c>
      <c r="AR11" s="34">
        <f t="shared" si="20"/>
        <v>-875</v>
      </c>
      <c r="AS11" s="35">
        <f t="shared" si="21"/>
        <v>0</v>
      </c>
      <c r="AT11" s="34">
        <f>((AT8)+(AT9))+(AT10)</f>
        <v>0</v>
      </c>
      <c r="AU11" s="34">
        <f>((AU8)+(AU9))+(AU10)</f>
        <v>875</v>
      </c>
      <c r="AV11" s="34">
        <f t="shared" si="22"/>
        <v>-875</v>
      </c>
      <c r="AW11" s="35">
        <f t="shared" si="23"/>
        <v>0</v>
      </c>
      <c r="AX11" s="34">
        <f t="shared" si="24"/>
        <v>1256.8</v>
      </c>
      <c r="AY11" s="34">
        <f t="shared" si="24"/>
        <v>10500</v>
      </c>
      <c r="AZ11" s="34">
        <f t="shared" si="25"/>
        <v>-9243.2000000000007</v>
      </c>
      <c r="BA11" s="35">
        <f t="shared" si="26"/>
        <v>0.11969523809523809</v>
      </c>
    </row>
    <row r="12" spans="1:53" x14ac:dyDescent="0.3">
      <c r="A12" s="30" t="s">
        <v>90</v>
      </c>
      <c r="B12" s="32">
        <f>175.1</f>
        <v>175.1</v>
      </c>
      <c r="C12" s="32">
        <f>166.67</f>
        <v>166.67</v>
      </c>
      <c r="D12" s="32">
        <f t="shared" si="0"/>
        <v>8.4300000000000068</v>
      </c>
      <c r="E12" s="33">
        <f t="shared" si="1"/>
        <v>1.0505789884202317</v>
      </c>
      <c r="F12" s="32">
        <f>271.34</f>
        <v>271.33999999999997</v>
      </c>
      <c r="G12" s="32">
        <f>166.67</f>
        <v>166.67</v>
      </c>
      <c r="H12" s="32">
        <f t="shared" si="2"/>
        <v>104.66999999999999</v>
      </c>
      <c r="I12" s="33">
        <f t="shared" si="3"/>
        <v>1.628007439851203</v>
      </c>
      <c r="J12" s="32">
        <f>198.3</f>
        <v>198.3</v>
      </c>
      <c r="K12" s="32">
        <f>166.67</f>
        <v>166.67</v>
      </c>
      <c r="L12" s="32">
        <f t="shared" si="4"/>
        <v>31.630000000000024</v>
      </c>
      <c r="M12" s="33">
        <f t="shared" si="5"/>
        <v>1.1897762044759106</v>
      </c>
      <c r="N12" s="31"/>
      <c r="O12" s="32">
        <f>166.67</f>
        <v>166.67</v>
      </c>
      <c r="P12" s="32">
        <f t="shared" si="6"/>
        <v>-166.67</v>
      </c>
      <c r="Q12" s="33">
        <f t="shared" si="7"/>
        <v>0</v>
      </c>
      <c r="R12" s="31"/>
      <c r="S12" s="32">
        <f>166.67</f>
        <v>166.67</v>
      </c>
      <c r="T12" s="32">
        <f t="shared" si="8"/>
        <v>-166.67</v>
      </c>
      <c r="U12" s="33">
        <f t="shared" si="9"/>
        <v>0</v>
      </c>
      <c r="V12" s="31"/>
      <c r="W12" s="32">
        <f>166.67</f>
        <v>166.67</v>
      </c>
      <c r="X12" s="32">
        <f t="shared" si="10"/>
        <v>-166.67</v>
      </c>
      <c r="Y12" s="33">
        <f t="shared" si="11"/>
        <v>0</v>
      </c>
      <c r="Z12" s="31"/>
      <c r="AA12" s="32">
        <f>166.67</f>
        <v>166.67</v>
      </c>
      <c r="AB12" s="32">
        <f t="shared" si="12"/>
        <v>-166.67</v>
      </c>
      <c r="AC12" s="33">
        <f t="shared" si="13"/>
        <v>0</v>
      </c>
      <c r="AD12" s="31"/>
      <c r="AE12" s="32">
        <f>166.67</f>
        <v>166.67</v>
      </c>
      <c r="AF12" s="32">
        <f t="shared" si="14"/>
        <v>-166.67</v>
      </c>
      <c r="AG12" s="33">
        <f t="shared" si="15"/>
        <v>0</v>
      </c>
      <c r="AH12" s="31"/>
      <c r="AI12" s="32">
        <f>166.67</f>
        <v>166.67</v>
      </c>
      <c r="AJ12" s="32">
        <f t="shared" si="16"/>
        <v>-166.67</v>
      </c>
      <c r="AK12" s="33">
        <f t="shared" si="17"/>
        <v>0</v>
      </c>
      <c r="AL12" s="31"/>
      <c r="AM12" s="32">
        <f>166.67</f>
        <v>166.67</v>
      </c>
      <c r="AN12" s="32">
        <f t="shared" si="18"/>
        <v>-166.67</v>
      </c>
      <c r="AO12" s="33">
        <f t="shared" si="19"/>
        <v>0</v>
      </c>
      <c r="AP12" s="31"/>
      <c r="AQ12" s="32">
        <f>166.67</f>
        <v>166.67</v>
      </c>
      <c r="AR12" s="32">
        <f t="shared" si="20"/>
        <v>-166.67</v>
      </c>
      <c r="AS12" s="33">
        <f t="shared" si="21"/>
        <v>0</v>
      </c>
      <c r="AT12" s="31"/>
      <c r="AU12" s="32">
        <f>166.63</f>
        <v>166.63</v>
      </c>
      <c r="AV12" s="32">
        <f t="shared" si="22"/>
        <v>-166.63</v>
      </c>
      <c r="AW12" s="33">
        <f t="shared" si="23"/>
        <v>0</v>
      </c>
      <c r="AX12" s="32">
        <f t="shared" si="24"/>
        <v>644.74</v>
      </c>
      <c r="AY12" s="32">
        <f t="shared" si="24"/>
        <v>2000</v>
      </c>
      <c r="AZ12" s="32">
        <f t="shared" si="25"/>
        <v>-1355.26</v>
      </c>
      <c r="BA12" s="33">
        <f t="shared" si="26"/>
        <v>0.32236999999999999</v>
      </c>
    </row>
    <row r="13" spans="1:53" x14ac:dyDescent="0.3">
      <c r="A13" s="30" t="s">
        <v>91</v>
      </c>
      <c r="B13" s="32">
        <f>12</f>
        <v>12</v>
      </c>
      <c r="C13" s="32">
        <f>41.67</f>
        <v>41.67</v>
      </c>
      <c r="D13" s="32">
        <f t="shared" si="0"/>
        <v>-29.67</v>
      </c>
      <c r="E13" s="33">
        <f t="shared" si="1"/>
        <v>0.28797696184305255</v>
      </c>
      <c r="F13" s="32">
        <f>89.63</f>
        <v>89.63</v>
      </c>
      <c r="G13" s="32">
        <f>41.67</f>
        <v>41.67</v>
      </c>
      <c r="H13" s="32">
        <f t="shared" si="2"/>
        <v>47.959999999999994</v>
      </c>
      <c r="I13" s="33">
        <f t="shared" si="3"/>
        <v>2.1509479241660667</v>
      </c>
      <c r="J13" s="32">
        <f>87.9</f>
        <v>87.9</v>
      </c>
      <c r="K13" s="32">
        <f>41.67</f>
        <v>41.67</v>
      </c>
      <c r="L13" s="32">
        <f t="shared" si="4"/>
        <v>46.230000000000004</v>
      </c>
      <c r="M13" s="33">
        <f t="shared" si="5"/>
        <v>2.1094312455003599</v>
      </c>
      <c r="N13" s="31"/>
      <c r="O13" s="32">
        <f>41.67</f>
        <v>41.67</v>
      </c>
      <c r="P13" s="32">
        <f t="shared" si="6"/>
        <v>-41.67</v>
      </c>
      <c r="Q13" s="33">
        <f t="shared" si="7"/>
        <v>0</v>
      </c>
      <c r="R13" s="31"/>
      <c r="S13" s="32">
        <f>41.67</f>
        <v>41.67</v>
      </c>
      <c r="T13" s="32">
        <f t="shared" si="8"/>
        <v>-41.67</v>
      </c>
      <c r="U13" s="33">
        <f t="shared" si="9"/>
        <v>0</v>
      </c>
      <c r="V13" s="31"/>
      <c r="W13" s="32">
        <f>41.67</f>
        <v>41.67</v>
      </c>
      <c r="X13" s="32">
        <f t="shared" si="10"/>
        <v>-41.67</v>
      </c>
      <c r="Y13" s="33">
        <f t="shared" si="11"/>
        <v>0</v>
      </c>
      <c r="Z13" s="31"/>
      <c r="AA13" s="32">
        <f>41.67</f>
        <v>41.67</v>
      </c>
      <c r="AB13" s="32">
        <f t="shared" si="12"/>
        <v>-41.67</v>
      </c>
      <c r="AC13" s="33">
        <f t="shared" si="13"/>
        <v>0</v>
      </c>
      <c r="AD13" s="31"/>
      <c r="AE13" s="32">
        <f>41.67</f>
        <v>41.67</v>
      </c>
      <c r="AF13" s="32">
        <f t="shared" si="14"/>
        <v>-41.67</v>
      </c>
      <c r="AG13" s="33">
        <f t="shared" si="15"/>
        <v>0</v>
      </c>
      <c r="AH13" s="31"/>
      <c r="AI13" s="32">
        <f>41.67</f>
        <v>41.67</v>
      </c>
      <c r="AJ13" s="32">
        <f t="shared" si="16"/>
        <v>-41.67</v>
      </c>
      <c r="AK13" s="33">
        <f t="shared" si="17"/>
        <v>0</v>
      </c>
      <c r="AL13" s="31"/>
      <c r="AM13" s="32">
        <f>41.67</f>
        <v>41.67</v>
      </c>
      <c r="AN13" s="32">
        <f t="shared" si="18"/>
        <v>-41.67</v>
      </c>
      <c r="AO13" s="33">
        <f t="shared" si="19"/>
        <v>0</v>
      </c>
      <c r="AP13" s="31"/>
      <c r="AQ13" s="32">
        <f>41.67</f>
        <v>41.67</v>
      </c>
      <c r="AR13" s="32">
        <f t="shared" si="20"/>
        <v>-41.67</v>
      </c>
      <c r="AS13" s="33">
        <f t="shared" si="21"/>
        <v>0</v>
      </c>
      <c r="AT13" s="31"/>
      <c r="AU13" s="32">
        <f>41.63</f>
        <v>41.63</v>
      </c>
      <c r="AV13" s="32">
        <f t="shared" si="22"/>
        <v>-41.63</v>
      </c>
      <c r="AW13" s="33">
        <f t="shared" si="23"/>
        <v>0</v>
      </c>
      <c r="AX13" s="32">
        <f t="shared" si="24"/>
        <v>189.53</v>
      </c>
      <c r="AY13" s="32">
        <f t="shared" si="24"/>
        <v>500.00000000000011</v>
      </c>
      <c r="AZ13" s="32">
        <f t="shared" si="25"/>
        <v>-310.47000000000014</v>
      </c>
      <c r="BA13" s="33">
        <f t="shared" si="26"/>
        <v>0.3790599999999999</v>
      </c>
    </row>
    <row r="14" spans="1:53" x14ac:dyDescent="0.3">
      <c r="A14" s="30" t="s">
        <v>92</v>
      </c>
      <c r="B14" s="32">
        <f>4077.44</f>
        <v>4077.44</v>
      </c>
      <c r="C14" s="32">
        <f>1250</f>
        <v>1250</v>
      </c>
      <c r="D14" s="32">
        <f t="shared" si="0"/>
        <v>2827.44</v>
      </c>
      <c r="E14" s="33">
        <f t="shared" si="1"/>
        <v>3.261952</v>
      </c>
      <c r="F14" s="32">
        <f>3800.65</f>
        <v>3800.65</v>
      </c>
      <c r="G14" s="32">
        <f>1250</f>
        <v>1250</v>
      </c>
      <c r="H14" s="32">
        <f t="shared" si="2"/>
        <v>2550.65</v>
      </c>
      <c r="I14" s="33">
        <f t="shared" si="3"/>
        <v>3.0405199999999999</v>
      </c>
      <c r="J14" s="32">
        <f>3527.15</f>
        <v>3527.15</v>
      </c>
      <c r="K14" s="32">
        <f>1250</f>
        <v>1250</v>
      </c>
      <c r="L14" s="32">
        <f t="shared" si="4"/>
        <v>2277.15</v>
      </c>
      <c r="M14" s="33">
        <f t="shared" si="5"/>
        <v>2.82172</v>
      </c>
      <c r="N14" s="31"/>
      <c r="O14" s="32">
        <f>1250</f>
        <v>1250</v>
      </c>
      <c r="P14" s="32">
        <f t="shared" si="6"/>
        <v>-1250</v>
      </c>
      <c r="Q14" s="33">
        <f t="shared" si="7"/>
        <v>0</v>
      </c>
      <c r="R14" s="31"/>
      <c r="S14" s="32">
        <f>1250</f>
        <v>1250</v>
      </c>
      <c r="T14" s="32">
        <f t="shared" si="8"/>
        <v>-1250</v>
      </c>
      <c r="U14" s="33">
        <f t="shared" si="9"/>
        <v>0</v>
      </c>
      <c r="V14" s="31"/>
      <c r="W14" s="32">
        <f>1250</f>
        <v>1250</v>
      </c>
      <c r="X14" s="32">
        <f t="shared" si="10"/>
        <v>-1250</v>
      </c>
      <c r="Y14" s="33">
        <f t="shared" si="11"/>
        <v>0</v>
      </c>
      <c r="Z14" s="31"/>
      <c r="AA14" s="32">
        <f>1250</f>
        <v>1250</v>
      </c>
      <c r="AB14" s="32">
        <f t="shared" si="12"/>
        <v>-1250</v>
      </c>
      <c r="AC14" s="33">
        <f t="shared" si="13"/>
        <v>0</v>
      </c>
      <c r="AD14" s="31"/>
      <c r="AE14" s="32">
        <f>1250</f>
        <v>1250</v>
      </c>
      <c r="AF14" s="32">
        <f t="shared" si="14"/>
        <v>-1250</v>
      </c>
      <c r="AG14" s="33">
        <f t="shared" si="15"/>
        <v>0</v>
      </c>
      <c r="AH14" s="31"/>
      <c r="AI14" s="32">
        <f>1250</f>
        <v>1250</v>
      </c>
      <c r="AJ14" s="32">
        <f t="shared" si="16"/>
        <v>-1250</v>
      </c>
      <c r="AK14" s="33">
        <f t="shared" si="17"/>
        <v>0</v>
      </c>
      <c r="AL14" s="31"/>
      <c r="AM14" s="32">
        <f>1250</f>
        <v>1250</v>
      </c>
      <c r="AN14" s="32">
        <f t="shared" si="18"/>
        <v>-1250</v>
      </c>
      <c r="AO14" s="33">
        <f t="shared" si="19"/>
        <v>0</v>
      </c>
      <c r="AP14" s="31"/>
      <c r="AQ14" s="32">
        <f>1250</f>
        <v>1250</v>
      </c>
      <c r="AR14" s="32">
        <f t="shared" si="20"/>
        <v>-1250</v>
      </c>
      <c r="AS14" s="33">
        <f t="shared" si="21"/>
        <v>0</v>
      </c>
      <c r="AT14" s="31"/>
      <c r="AU14" s="32">
        <f>1250</f>
        <v>1250</v>
      </c>
      <c r="AV14" s="32">
        <f t="shared" si="22"/>
        <v>-1250</v>
      </c>
      <c r="AW14" s="33">
        <f t="shared" si="23"/>
        <v>0</v>
      </c>
      <c r="AX14" s="32">
        <f t="shared" si="24"/>
        <v>11405.24</v>
      </c>
      <c r="AY14" s="32">
        <f t="shared" si="24"/>
        <v>15000</v>
      </c>
      <c r="AZ14" s="32">
        <f t="shared" si="25"/>
        <v>-3594.76</v>
      </c>
      <c r="BA14" s="33">
        <f t="shared" si="26"/>
        <v>0.76034933333333332</v>
      </c>
    </row>
    <row r="15" spans="1:53" x14ac:dyDescent="0.3">
      <c r="A15" s="30" t="s">
        <v>93</v>
      </c>
      <c r="B15" s="32">
        <f>5630.87</f>
        <v>5630.87</v>
      </c>
      <c r="C15" s="32">
        <f>83999.5</f>
        <v>83999.5</v>
      </c>
      <c r="D15" s="32">
        <f t="shared" si="0"/>
        <v>-78368.63</v>
      </c>
      <c r="E15" s="33">
        <f t="shared" si="1"/>
        <v>6.7034565681938579E-2</v>
      </c>
      <c r="F15" s="32">
        <f>354615.62</f>
        <v>354615.62</v>
      </c>
      <c r="G15" s="32">
        <f>83999.5</f>
        <v>83999.5</v>
      </c>
      <c r="H15" s="32">
        <f t="shared" si="2"/>
        <v>270616.12</v>
      </c>
      <c r="I15" s="33">
        <f t="shared" si="3"/>
        <v>4.2216396526169797</v>
      </c>
      <c r="J15" s="32">
        <f>69263.99</f>
        <v>69263.990000000005</v>
      </c>
      <c r="K15" s="32">
        <f>83999.5</f>
        <v>83999.5</v>
      </c>
      <c r="L15" s="32">
        <f t="shared" si="4"/>
        <v>-14735.509999999995</v>
      </c>
      <c r="M15" s="33">
        <f t="shared" si="5"/>
        <v>0.82457621771558165</v>
      </c>
      <c r="N15" s="31"/>
      <c r="O15" s="32">
        <f>83999.5</f>
        <v>83999.5</v>
      </c>
      <c r="P15" s="32">
        <f t="shared" si="6"/>
        <v>-83999.5</v>
      </c>
      <c r="Q15" s="33">
        <f t="shared" si="7"/>
        <v>0</v>
      </c>
      <c r="R15" s="31"/>
      <c r="S15" s="32">
        <f>83999.5</f>
        <v>83999.5</v>
      </c>
      <c r="T15" s="32">
        <f t="shared" si="8"/>
        <v>-83999.5</v>
      </c>
      <c r="U15" s="33">
        <f t="shared" si="9"/>
        <v>0</v>
      </c>
      <c r="V15" s="31"/>
      <c r="W15" s="32">
        <f>83999.5</f>
        <v>83999.5</v>
      </c>
      <c r="X15" s="32">
        <f t="shared" si="10"/>
        <v>-83999.5</v>
      </c>
      <c r="Y15" s="33">
        <f t="shared" si="11"/>
        <v>0</v>
      </c>
      <c r="Z15" s="31"/>
      <c r="AA15" s="32">
        <f>83999.5</f>
        <v>83999.5</v>
      </c>
      <c r="AB15" s="32">
        <f t="shared" si="12"/>
        <v>-83999.5</v>
      </c>
      <c r="AC15" s="33">
        <f t="shared" si="13"/>
        <v>0</v>
      </c>
      <c r="AD15" s="31"/>
      <c r="AE15" s="32">
        <f>83999.5</f>
        <v>83999.5</v>
      </c>
      <c r="AF15" s="32">
        <f t="shared" si="14"/>
        <v>-83999.5</v>
      </c>
      <c r="AG15" s="33">
        <f t="shared" si="15"/>
        <v>0</v>
      </c>
      <c r="AH15" s="31"/>
      <c r="AI15" s="32">
        <f>83999.5</f>
        <v>83999.5</v>
      </c>
      <c r="AJ15" s="32">
        <f t="shared" si="16"/>
        <v>-83999.5</v>
      </c>
      <c r="AK15" s="33">
        <f t="shared" si="17"/>
        <v>0</v>
      </c>
      <c r="AL15" s="31"/>
      <c r="AM15" s="32">
        <f>83999.5</f>
        <v>83999.5</v>
      </c>
      <c r="AN15" s="32">
        <f t="shared" si="18"/>
        <v>-83999.5</v>
      </c>
      <c r="AO15" s="33">
        <f t="shared" si="19"/>
        <v>0</v>
      </c>
      <c r="AP15" s="31"/>
      <c r="AQ15" s="32">
        <f>83999.5</f>
        <v>83999.5</v>
      </c>
      <c r="AR15" s="32">
        <f t="shared" si="20"/>
        <v>-83999.5</v>
      </c>
      <c r="AS15" s="33">
        <f t="shared" si="21"/>
        <v>0</v>
      </c>
      <c r="AT15" s="31"/>
      <c r="AU15" s="32">
        <f>83999.5</f>
        <v>83999.5</v>
      </c>
      <c r="AV15" s="32">
        <f t="shared" si="22"/>
        <v>-83999.5</v>
      </c>
      <c r="AW15" s="33">
        <f t="shared" si="23"/>
        <v>0</v>
      </c>
      <c r="AX15" s="32">
        <f t="shared" si="24"/>
        <v>429510.48</v>
      </c>
      <c r="AY15" s="32">
        <f t="shared" si="24"/>
        <v>1007994</v>
      </c>
      <c r="AZ15" s="32">
        <f t="shared" si="25"/>
        <v>-578483.52</v>
      </c>
      <c r="BA15" s="33">
        <f t="shared" si="26"/>
        <v>0.42610420300120833</v>
      </c>
    </row>
    <row r="16" spans="1:53" x14ac:dyDescent="0.3">
      <c r="A16" s="30" t="s">
        <v>94</v>
      </c>
      <c r="B16" s="32">
        <f>4980.86</f>
        <v>4980.8599999999997</v>
      </c>
      <c r="C16" s="32">
        <f>3750</f>
        <v>3750</v>
      </c>
      <c r="D16" s="32">
        <f t="shared" si="0"/>
        <v>1230.8599999999997</v>
      </c>
      <c r="E16" s="33">
        <f t="shared" si="1"/>
        <v>1.3282293333333333</v>
      </c>
      <c r="F16" s="32">
        <f>4391.99</f>
        <v>4391.99</v>
      </c>
      <c r="G16" s="32">
        <f>3750</f>
        <v>3750</v>
      </c>
      <c r="H16" s="32">
        <f t="shared" si="2"/>
        <v>641.98999999999978</v>
      </c>
      <c r="I16" s="33">
        <f t="shared" si="3"/>
        <v>1.1711973333333332</v>
      </c>
      <c r="J16" s="32">
        <f>5527.95</f>
        <v>5527.95</v>
      </c>
      <c r="K16" s="32">
        <f>3750</f>
        <v>3750</v>
      </c>
      <c r="L16" s="32">
        <f t="shared" si="4"/>
        <v>1777.9499999999998</v>
      </c>
      <c r="M16" s="33">
        <f t="shared" si="5"/>
        <v>1.4741199999999999</v>
      </c>
      <c r="N16" s="31"/>
      <c r="O16" s="32">
        <f>3750</f>
        <v>3750</v>
      </c>
      <c r="P16" s="32">
        <f t="shared" si="6"/>
        <v>-3750</v>
      </c>
      <c r="Q16" s="33">
        <f t="shared" si="7"/>
        <v>0</v>
      </c>
      <c r="R16" s="31"/>
      <c r="S16" s="32">
        <f>3750</f>
        <v>3750</v>
      </c>
      <c r="T16" s="32">
        <f t="shared" si="8"/>
        <v>-3750</v>
      </c>
      <c r="U16" s="33">
        <f t="shared" si="9"/>
        <v>0</v>
      </c>
      <c r="V16" s="31"/>
      <c r="W16" s="32">
        <f>3750</f>
        <v>3750</v>
      </c>
      <c r="X16" s="32">
        <f t="shared" si="10"/>
        <v>-3750</v>
      </c>
      <c r="Y16" s="33">
        <f t="shared" si="11"/>
        <v>0</v>
      </c>
      <c r="Z16" s="31"/>
      <c r="AA16" s="32">
        <f>3750</f>
        <v>3750</v>
      </c>
      <c r="AB16" s="32">
        <f t="shared" si="12"/>
        <v>-3750</v>
      </c>
      <c r="AC16" s="33">
        <f t="shared" si="13"/>
        <v>0</v>
      </c>
      <c r="AD16" s="31"/>
      <c r="AE16" s="32">
        <f>3750</f>
        <v>3750</v>
      </c>
      <c r="AF16" s="32">
        <f t="shared" si="14"/>
        <v>-3750</v>
      </c>
      <c r="AG16" s="33">
        <f t="shared" si="15"/>
        <v>0</v>
      </c>
      <c r="AH16" s="31"/>
      <c r="AI16" s="32">
        <f>3750</f>
        <v>3750</v>
      </c>
      <c r="AJ16" s="32">
        <f t="shared" si="16"/>
        <v>-3750</v>
      </c>
      <c r="AK16" s="33">
        <f t="shared" si="17"/>
        <v>0</v>
      </c>
      <c r="AL16" s="31"/>
      <c r="AM16" s="32">
        <f>3750</f>
        <v>3750</v>
      </c>
      <c r="AN16" s="32">
        <f t="shared" si="18"/>
        <v>-3750</v>
      </c>
      <c r="AO16" s="33">
        <f t="shared" si="19"/>
        <v>0</v>
      </c>
      <c r="AP16" s="31"/>
      <c r="AQ16" s="32">
        <f>3750</f>
        <v>3750</v>
      </c>
      <c r="AR16" s="32">
        <f t="shared" si="20"/>
        <v>-3750</v>
      </c>
      <c r="AS16" s="33">
        <f t="shared" si="21"/>
        <v>0</v>
      </c>
      <c r="AT16" s="31"/>
      <c r="AU16" s="32">
        <f>3750</f>
        <v>3750</v>
      </c>
      <c r="AV16" s="32">
        <f t="shared" si="22"/>
        <v>-3750</v>
      </c>
      <c r="AW16" s="33">
        <f t="shared" si="23"/>
        <v>0</v>
      </c>
      <c r="AX16" s="32">
        <f t="shared" si="24"/>
        <v>14900.8</v>
      </c>
      <c r="AY16" s="32">
        <f t="shared" si="24"/>
        <v>45000</v>
      </c>
      <c r="AZ16" s="32">
        <f t="shared" si="25"/>
        <v>-30099.200000000001</v>
      </c>
      <c r="BA16" s="33">
        <f t="shared" si="26"/>
        <v>0.33112888888888886</v>
      </c>
    </row>
    <row r="17" spans="1:53" x14ac:dyDescent="0.3">
      <c r="A17" s="30" t="s">
        <v>95</v>
      </c>
      <c r="B17" s="34">
        <f>(((((B11)+(B12))+(B13))+(B14))+(B15))+(B16)</f>
        <v>14876.27</v>
      </c>
      <c r="C17" s="34">
        <f>(((((C11)+(C12))+(C13))+(C14))+(C15))+(C16)</f>
        <v>90082.84</v>
      </c>
      <c r="D17" s="34">
        <f t="shared" si="0"/>
        <v>-75206.569999999992</v>
      </c>
      <c r="E17" s="35">
        <f t="shared" si="1"/>
        <v>0.16513988679752992</v>
      </c>
      <c r="F17" s="34">
        <f>(((((F11)+(F12))+(F13))+(F14))+(F15))+(F16)</f>
        <v>364426.02999999997</v>
      </c>
      <c r="G17" s="34">
        <f>(((((G11)+(G12))+(G13))+(G14))+(G15))+(G16)</f>
        <v>90082.84</v>
      </c>
      <c r="H17" s="34">
        <f t="shared" si="2"/>
        <v>274343.18999999994</v>
      </c>
      <c r="I17" s="35">
        <f t="shared" si="3"/>
        <v>4.0454544949959388</v>
      </c>
      <c r="J17" s="34">
        <f>(((((J11)+(J12))+(J13))+(J14))+(J15))+(J16)</f>
        <v>78605.290000000008</v>
      </c>
      <c r="K17" s="34">
        <f>(((((K11)+(K12))+(K13))+(K14))+(K15))+(K16)</f>
        <v>90082.84</v>
      </c>
      <c r="L17" s="34">
        <f t="shared" si="4"/>
        <v>-11477.549999999988</v>
      </c>
      <c r="M17" s="35">
        <f t="shared" si="5"/>
        <v>0.87258894146765364</v>
      </c>
      <c r="N17" s="34">
        <f>(((((N11)+(N12))+(N13))+(N14))+(N15))+(N16)</f>
        <v>0</v>
      </c>
      <c r="O17" s="34">
        <f>(((((O11)+(O12))+(O13))+(O14))+(O15))+(O16)</f>
        <v>90082.84</v>
      </c>
      <c r="P17" s="34">
        <f t="shared" si="6"/>
        <v>-90082.84</v>
      </c>
      <c r="Q17" s="35">
        <f t="shared" si="7"/>
        <v>0</v>
      </c>
      <c r="R17" s="34">
        <f>(((((R11)+(R12))+(R13))+(R14))+(R15))+(R16)</f>
        <v>0</v>
      </c>
      <c r="S17" s="34">
        <f>(((((S11)+(S12))+(S13))+(S14))+(S15))+(S16)</f>
        <v>90082.84</v>
      </c>
      <c r="T17" s="34">
        <f t="shared" si="8"/>
        <v>-90082.84</v>
      </c>
      <c r="U17" s="35">
        <f t="shared" si="9"/>
        <v>0</v>
      </c>
      <c r="V17" s="34">
        <f>(((((V11)+(V12))+(V13))+(V14))+(V15))+(V16)</f>
        <v>0</v>
      </c>
      <c r="W17" s="34">
        <f>(((((W11)+(W12))+(W13))+(W14))+(W15))+(W16)</f>
        <v>90082.84</v>
      </c>
      <c r="X17" s="34">
        <f t="shared" si="10"/>
        <v>-90082.84</v>
      </c>
      <c r="Y17" s="35">
        <f t="shared" si="11"/>
        <v>0</v>
      </c>
      <c r="Z17" s="34">
        <f>(((((Z11)+(Z12))+(Z13))+(Z14))+(Z15))+(Z16)</f>
        <v>0</v>
      </c>
      <c r="AA17" s="34">
        <f>(((((AA11)+(AA12))+(AA13))+(AA14))+(AA15))+(AA16)</f>
        <v>90082.84</v>
      </c>
      <c r="AB17" s="34">
        <f t="shared" si="12"/>
        <v>-90082.84</v>
      </c>
      <c r="AC17" s="35">
        <f t="shared" si="13"/>
        <v>0</v>
      </c>
      <c r="AD17" s="34">
        <f>(((((AD11)+(AD12))+(AD13))+(AD14))+(AD15))+(AD16)</f>
        <v>0</v>
      </c>
      <c r="AE17" s="34">
        <f>(((((AE11)+(AE12))+(AE13))+(AE14))+(AE15))+(AE16)</f>
        <v>90082.84</v>
      </c>
      <c r="AF17" s="34">
        <f t="shared" si="14"/>
        <v>-90082.84</v>
      </c>
      <c r="AG17" s="35">
        <f t="shared" si="15"/>
        <v>0</v>
      </c>
      <c r="AH17" s="34">
        <f>(((((AH11)+(AH12))+(AH13))+(AH14))+(AH15))+(AH16)</f>
        <v>0</v>
      </c>
      <c r="AI17" s="34">
        <f>(((((AI11)+(AI12))+(AI13))+(AI14))+(AI15))+(AI16)</f>
        <v>90082.84</v>
      </c>
      <c r="AJ17" s="34">
        <f t="shared" si="16"/>
        <v>-90082.84</v>
      </c>
      <c r="AK17" s="35">
        <f t="shared" si="17"/>
        <v>0</v>
      </c>
      <c r="AL17" s="34">
        <f>(((((AL11)+(AL12))+(AL13))+(AL14))+(AL15))+(AL16)</f>
        <v>0</v>
      </c>
      <c r="AM17" s="34">
        <f>(((((AM11)+(AM12))+(AM13))+(AM14))+(AM15))+(AM16)</f>
        <v>90082.84</v>
      </c>
      <c r="AN17" s="34">
        <f t="shared" si="18"/>
        <v>-90082.84</v>
      </c>
      <c r="AO17" s="35">
        <f t="shared" si="19"/>
        <v>0</v>
      </c>
      <c r="AP17" s="34">
        <f>(((((AP11)+(AP12))+(AP13))+(AP14))+(AP15))+(AP16)</f>
        <v>0</v>
      </c>
      <c r="AQ17" s="34">
        <f>(((((AQ11)+(AQ12))+(AQ13))+(AQ14))+(AQ15))+(AQ16)</f>
        <v>90082.84</v>
      </c>
      <c r="AR17" s="34">
        <f t="shared" si="20"/>
        <v>-90082.84</v>
      </c>
      <c r="AS17" s="35">
        <f t="shared" si="21"/>
        <v>0</v>
      </c>
      <c r="AT17" s="34">
        <f>(((((AT11)+(AT12))+(AT13))+(AT14))+(AT15))+(AT16)</f>
        <v>0</v>
      </c>
      <c r="AU17" s="34">
        <f>(((((AU11)+(AU12))+(AU13))+(AU14))+(AU15))+(AU16)</f>
        <v>90082.76</v>
      </c>
      <c r="AV17" s="34">
        <f t="shared" si="22"/>
        <v>-90082.76</v>
      </c>
      <c r="AW17" s="35">
        <f t="shared" si="23"/>
        <v>0</v>
      </c>
      <c r="AX17" s="34">
        <f t="shared" si="24"/>
        <v>457907.58999999997</v>
      </c>
      <c r="AY17" s="34">
        <f t="shared" si="24"/>
        <v>1080993.9999999998</v>
      </c>
      <c r="AZ17" s="34">
        <f t="shared" si="25"/>
        <v>-623086.4099999998</v>
      </c>
      <c r="BA17" s="35">
        <f t="shared" si="26"/>
        <v>0.42359864162058258</v>
      </c>
    </row>
    <row r="18" spans="1:53" x14ac:dyDescent="0.3">
      <c r="A18" s="30" t="s">
        <v>96</v>
      </c>
      <c r="B18" s="34">
        <f>(B17)-(0)</f>
        <v>14876.27</v>
      </c>
      <c r="C18" s="34">
        <f>(C17)-(0)</f>
        <v>90082.84</v>
      </c>
      <c r="D18" s="34">
        <f t="shared" si="0"/>
        <v>-75206.569999999992</v>
      </c>
      <c r="E18" s="35">
        <f t="shared" si="1"/>
        <v>0.16513988679752992</v>
      </c>
      <c r="F18" s="34">
        <f>(F17)-(0)</f>
        <v>364426.02999999997</v>
      </c>
      <c r="G18" s="34">
        <f>(G17)-(0)</f>
        <v>90082.84</v>
      </c>
      <c r="H18" s="34">
        <f t="shared" si="2"/>
        <v>274343.18999999994</v>
      </c>
      <c r="I18" s="35">
        <f t="shared" si="3"/>
        <v>4.0454544949959388</v>
      </c>
      <c r="J18" s="34">
        <f>(J17)-(0)</f>
        <v>78605.290000000008</v>
      </c>
      <c r="K18" s="34">
        <f>(K17)-(0)</f>
        <v>90082.84</v>
      </c>
      <c r="L18" s="34">
        <f t="shared" si="4"/>
        <v>-11477.549999999988</v>
      </c>
      <c r="M18" s="35">
        <f t="shared" si="5"/>
        <v>0.87258894146765364</v>
      </c>
      <c r="N18" s="34">
        <f>(N17)-(0)</f>
        <v>0</v>
      </c>
      <c r="O18" s="34">
        <f>(O17)-(0)</f>
        <v>90082.84</v>
      </c>
      <c r="P18" s="34">
        <f t="shared" si="6"/>
        <v>-90082.84</v>
      </c>
      <c r="Q18" s="35">
        <f t="shared" si="7"/>
        <v>0</v>
      </c>
      <c r="R18" s="34">
        <f>(R17)-(0)</f>
        <v>0</v>
      </c>
      <c r="S18" s="34">
        <f>(S17)-(0)</f>
        <v>90082.84</v>
      </c>
      <c r="T18" s="34">
        <f t="shared" si="8"/>
        <v>-90082.84</v>
      </c>
      <c r="U18" s="35">
        <f t="shared" si="9"/>
        <v>0</v>
      </c>
      <c r="V18" s="34">
        <f>(V17)-(0)</f>
        <v>0</v>
      </c>
      <c r="W18" s="34">
        <f>(W17)-(0)</f>
        <v>90082.84</v>
      </c>
      <c r="X18" s="34">
        <f t="shared" si="10"/>
        <v>-90082.84</v>
      </c>
      <c r="Y18" s="35">
        <f t="shared" si="11"/>
        <v>0</v>
      </c>
      <c r="Z18" s="34">
        <f>(Z17)-(0)</f>
        <v>0</v>
      </c>
      <c r="AA18" s="34">
        <f>(AA17)-(0)</f>
        <v>90082.84</v>
      </c>
      <c r="AB18" s="34">
        <f t="shared" si="12"/>
        <v>-90082.84</v>
      </c>
      <c r="AC18" s="35">
        <f t="shared" si="13"/>
        <v>0</v>
      </c>
      <c r="AD18" s="34">
        <f>(AD17)-(0)</f>
        <v>0</v>
      </c>
      <c r="AE18" s="34">
        <f>(AE17)-(0)</f>
        <v>90082.84</v>
      </c>
      <c r="AF18" s="34">
        <f t="shared" si="14"/>
        <v>-90082.84</v>
      </c>
      <c r="AG18" s="35">
        <f t="shared" si="15"/>
        <v>0</v>
      </c>
      <c r="AH18" s="34">
        <f>(AH17)-(0)</f>
        <v>0</v>
      </c>
      <c r="AI18" s="34">
        <f>(AI17)-(0)</f>
        <v>90082.84</v>
      </c>
      <c r="AJ18" s="34">
        <f t="shared" si="16"/>
        <v>-90082.84</v>
      </c>
      <c r="AK18" s="35">
        <f t="shared" si="17"/>
        <v>0</v>
      </c>
      <c r="AL18" s="34">
        <f>(AL17)-(0)</f>
        <v>0</v>
      </c>
      <c r="AM18" s="34">
        <f>(AM17)-(0)</f>
        <v>90082.84</v>
      </c>
      <c r="AN18" s="34">
        <f t="shared" si="18"/>
        <v>-90082.84</v>
      </c>
      <c r="AO18" s="35">
        <f t="shared" si="19"/>
        <v>0</v>
      </c>
      <c r="AP18" s="34">
        <f>(AP17)-(0)</f>
        <v>0</v>
      </c>
      <c r="AQ18" s="34">
        <f>(AQ17)-(0)</f>
        <v>90082.84</v>
      </c>
      <c r="AR18" s="34">
        <f t="shared" si="20"/>
        <v>-90082.84</v>
      </c>
      <c r="AS18" s="35">
        <f t="shared" si="21"/>
        <v>0</v>
      </c>
      <c r="AT18" s="34">
        <f>(AT17)-(0)</f>
        <v>0</v>
      </c>
      <c r="AU18" s="34">
        <f>(AU17)-(0)</f>
        <v>90082.76</v>
      </c>
      <c r="AV18" s="34">
        <f t="shared" si="22"/>
        <v>-90082.76</v>
      </c>
      <c r="AW18" s="35">
        <f t="shared" si="23"/>
        <v>0</v>
      </c>
      <c r="AX18" s="34">
        <f t="shared" si="24"/>
        <v>457907.58999999997</v>
      </c>
      <c r="AY18" s="34">
        <f t="shared" si="24"/>
        <v>1080993.9999999998</v>
      </c>
      <c r="AZ18" s="34">
        <f t="shared" si="25"/>
        <v>-623086.4099999998</v>
      </c>
      <c r="BA18" s="35">
        <f t="shared" si="26"/>
        <v>0.42359864162058258</v>
      </c>
    </row>
    <row r="19" spans="1:53" x14ac:dyDescent="0.3">
      <c r="A19" s="30" t="s">
        <v>97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</row>
    <row r="20" spans="1:53" x14ac:dyDescent="0.3">
      <c r="A20" s="30" t="s">
        <v>98</v>
      </c>
      <c r="B20" s="31"/>
      <c r="C20" s="31"/>
      <c r="D20" s="32">
        <f t="shared" ref="D20:D83" si="27">(B20)-(C20)</f>
        <v>0</v>
      </c>
      <c r="E20" s="33" t="str">
        <f t="shared" ref="E20:E83" si="28">IF(C20=0,"",(B20)/(C20))</f>
        <v/>
      </c>
      <c r="F20" s="31"/>
      <c r="G20" s="31"/>
      <c r="H20" s="32">
        <f t="shared" ref="H20:H83" si="29">(F20)-(G20)</f>
        <v>0</v>
      </c>
      <c r="I20" s="33" t="str">
        <f t="shared" ref="I20:I83" si="30">IF(G20=0,"",(F20)/(G20))</f>
        <v/>
      </c>
      <c r="J20" s="31"/>
      <c r="K20" s="31"/>
      <c r="L20" s="32">
        <f t="shared" ref="L20:L83" si="31">(J20)-(K20)</f>
        <v>0</v>
      </c>
      <c r="M20" s="33" t="str">
        <f t="shared" ref="M20:M83" si="32">IF(K20=0,"",(J20)/(K20))</f>
        <v/>
      </c>
      <c r="N20" s="31"/>
      <c r="O20" s="31"/>
      <c r="P20" s="32">
        <f t="shared" ref="P20:P83" si="33">(N20)-(O20)</f>
        <v>0</v>
      </c>
      <c r="Q20" s="33" t="str">
        <f t="shared" ref="Q20:Q83" si="34">IF(O20=0,"",(N20)/(O20))</f>
        <v/>
      </c>
      <c r="R20" s="31"/>
      <c r="S20" s="31"/>
      <c r="T20" s="32">
        <f t="shared" ref="T20:T83" si="35">(R20)-(S20)</f>
        <v>0</v>
      </c>
      <c r="U20" s="33" t="str">
        <f t="shared" ref="U20:U83" si="36">IF(S20=0,"",(R20)/(S20))</f>
        <v/>
      </c>
      <c r="V20" s="31"/>
      <c r="W20" s="31"/>
      <c r="X20" s="32">
        <f t="shared" ref="X20:X83" si="37">(V20)-(W20)</f>
        <v>0</v>
      </c>
      <c r="Y20" s="33" t="str">
        <f t="shared" ref="Y20:Y83" si="38">IF(W20=0,"",(V20)/(W20))</f>
        <v/>
      </c>
      <c r="Z20" s="31"/>
      <c r="AA20" s="31"/>
      <c r="AB20" s="32">
        <f t="shared" ref="AB20:AB83" si="39">(Z20)-(AA20)</f>
        <v>0</v>
      </c>
      <c r="AC20" s="33" t="str">
        <f t="shared" ref="AC20:AC83" si="40">IF(AA20=0,"",(Z20)/(AA20))</f>
        <v/>
      </c>
      <c r="AD20" s="31"/>
      <c r="AE20" s="31"/>
      <c r="AF20" s="32">
        <f t="shared" ref="AF20:AF83" si="41">(AD20)-(AE20)</f>
        <v>0</v>
      </c>
      <c r="AG20" s="33" t="str">
        <f t="shared" ref="AG20:AG83" si="42">IF(AE20=0,"",(AD20)/(AE20))</f>
        <v/>
      </c>
      <c r="AH20" s="31"/>
      <c r="AI20" s="31"/>
      <c r="AJ20" s="32">
        <f t="shared" ref="AJ20:AJ83" si="43">(AH20)-(AI20)</f>
        <v>0</v>
      </c>
      <c r="AK20" s="33" t="str">
        <f t="shared" ref="AK20:AK83" si="44">IF(AI20=0,"",(AH20)/(AI20))</f>
        <v/>
      </c>
      <c r="AL20" s="31"/>
      <c r="AM20" s="31"/>
      <c r="AN20" s="32">
        <f t="shared" ref="AN20:AN83" si="45">(AL20)-(AM20)</f>
        <v>0</v>
      </c>
      <c r="AO20" s="33" t="str">
        <f t="shared" ref="AO20:AO83" si="46">IF(AM20=0,"",(AL20)/(AM20))</f>
        <v/>
      </c>
      <c r="AP20" s="31"/>
      <c r="AQ20" s="31"/>
      <c r="AR20" s="32">
        <f t="shared" ref="AR20:AR83" si="47">(AP20)-(AQ20)</f>
        <v>0</v>
      </c>
      <c r="AS20" s="33" t="str">
        <f t="shared" ref="AS20:AS83" si="48">IF(AQ20=0,"",(AP20)/(AQ20))</f>
        <v/>
      </c>
      <c r="AT20" s="31"/>
      <c r="AU20" s="31"/>
      <c r="AV20" s="32">
        <f t="shared" ref="AV20:AV83" si="49">(AT20)-(AU20)</f>
        <v>0</v>
      </c>
      <c r="AW20" s="33" t="str">
        <f t="shared" ref="AW20:AW83" si="50">IF(AU20=0,"",(AT20)/(AU20))</f>
        <v/>
      </c>
      <c r="AX20" s="32">
        <f t="shared" ref="AX20:AY51" si="51">(((((((((((B20)+(F20))+(J20))+(N20))+(R20))+(V20))+(Z20))+(AD20))+(AH20))+(AL20))+(AP20))+(AT20)</f>
        <v>0</v>
      </c>
      <c r="AY20" s="32">
        <f t="shared" si="51"/>
        <v>0</v>
      </c>
      <c r="AZ20" s="32">
        <f t="shared" ref="AZ20:AZ83" si="52">(AX20)-(AY20)</f>
        <v>0</v>
      </c>
      <c r="BA20" s="33" t="str">
        <f t="shared" ref="BA20:BA83" si="53">IF(AY20=0,"",(AX20)/(AY20))</f>
        <v/>
      </c>
    </row>
    <row r="21" spans="1:53" x14ac:dyDescent="0.3">
      <c r="A21" s="30" t="s">
        <v>99</v>
      </c>
      <c r="B21" s="32">
        <f>154.5</f>
        <v>154.5</v>
      </c>
      <c r="C21" s="31"/>
      <c r="D21" s="32">
        <f t="shared" si="27"/>
        <v>154.5</v>
      </c>
      <c r="E21" s="33" t="str">
        <f t="shared" si="28"/>
        <v/>
      </c>
      <c r="F21" s="32">
        <f>0</f>
        <v>0</v>
      </c>
      <c r="G21" s="31"/>
      <c r="H21" s="32">
        <f t="shared" si="29"/>
        <v>0</v>
      </c>
      <c r="I21" s="33" t="str">
        <f t="shared" si="30"/>
        <v/>
      </c>
      <c r="J21" s="32">
        <f>0</f>
        <v>0</v>
      </c>
      <c r="K21" s="31"/>
      <c r="L21" s="32">
        <f t="shared" si="31"/>
        <v>0</v>
      </c>
      <c r="M21" s="33" t="str">
        <f t="shared" si="32"/>
        <v/>
      </c>
      <c r="N21" s="32">
        <f>-154.5</f>
        <v>-154.5</v>
      </c>
      <c r="O21" s="31"/>
      <c r="P21" s="32">
        <f t="shared" si="33"/>
        <v>-154.5</v>
      </c>
      <c r="Q21" s="33" t="str">
        <f t="shared" si="34"/>
        <v/>
      </c>
      <c r="R21" s="31"/>
      <c r="S21" s="31"/>
      <c r="T21" s="32">
        <f t="shared" si="35"/>
        <v>0</v>
      </c>
      <c r="U21" s="33" t="str">
        <f t="shared" si="36"/>
        <v/>
      </c>
      <c r="V21" s="31"/>
      <c r="W21" s="31"/>
      <c r="X21" s="32">
        <f t="shared" si="37"/>
        <v>0</v>
      </c>
      <c r="Y21" s="33" t="str">
        <f t="shared" si="38"/>
        <v/>
      </c>
      <c r="Z21" s="31"/>
      <c r="AA21" s="31"/>
      <c r="AB21" s="32">
        <f t="shared" si="39"/>
        <v>0</v>
      </c>
      <c r="AC21" s="33" t="str">
        <f t="shared" si="40"/>
        <v/>
      </c>
      <c r="AD21" s="31"/>
      <c r="AE21" s="31"/>
      <c r="AF21" s="32">
        <f t="shared" si="41"/>
        <v>0</v>
      </c>
      <c r="AG21" s="33" t="str">
        <f t="shared" si="42"/>
        <v/>
      </c>
      <c r="AH21" s="31"/>
      <c r="AI21" s="31"/>
      <c r="AJ21" s="32">
        <f t="shared" si="43"/>
        <v>0</v>
      </c>
      <c r="AK21" s="33" t="str">
        <f t="shared" si="44"/>
        <v/>
      </c>
      <c r="AL21" s="31"/>
      <c r="AM21" s="31"/>
      <c r="AN21" s="32">
        <f t="shared" si="45"/>
        <v>0</v>
      </c>
      <c r="AO21" s="33" t="str">
        <f t="shared" si="46"/>
        <v/>
      </c>
      <c r="AP21" s="31"/>
      <c r="AQ21" s="31"/>
      <c r="AR21" s="32">
        <f t="shared" si="47"/>
        <v>0</v>
      </c>
      <c r="AS21" s="33" t="str">
        <f t="shared" si="48"/>
        <v/>
      </c>
      <c r="AT21" s="31"/>
      <c r="AU21" s="31"/>
      <c r="AV21" s="32">
        <f t="shared" si="49"/>
        <v>0</v>
      </c>
      <c r="AW21" s="33" t="str">
        <f t="shared" si="50"/>
        <v/>
      </c>
      <c r="AX21" s="32">
        <f t="shared" si="51"/>
        <v>0</v>
      </c>
      <c r="AY21" s="32">
        <f t="shared" si="51"/>
        <v>0</v>
      </c>
      <c r="AZ21" s="32">
        <f t="shared" si="52"/>
        <v>0</v>
      </c>
      <c r="BA21" s="33" t="str">
        <f t="shared" si="53"/>
        <v/>
      </c>
    </row>
    <row r="22" spans="1:53" x14ac:dyDescent="0.3">
      <c r="A22" s="30" t="s">
        <v>100</v>
      </c>
      <c r="B22" s="32">
        <f>4013.9</f>
        <v>4013.9</v>
      </c>
      <c r="C22" s="32">
        <f>4208.33</f>
        <v>4208.33</v>
      </c>
      <c r="D22" s="32">
        <f t="shared" si="27"/>
        <v>-194.42999999999984</v>
      </c>
      <c r="E22" s="33">
        <f t="shared" si="28"/>
        <v>0.95379877528615864</v>
      </c>
      <c r="F22" s="32">
        <f>4013.9</f>
        <v>4013.9</v>
      </c>
      <c r="G22" s="32">
        <f>4208.33</f>
        <v>4208.33</v>
      </c>
      <c r="H22" s="32">
        <f t="shared" si="29"/>
        <v>-194.42999999999984</v>
      </c>
      <c r="I22" s="33">
        <f t="shared" si="30"/>
        <v>0.95379877528615864</v>
      </c>
      <c r="J22" s="32">
        <f>4013.9</f>
        <v>4013.9</v>
      </c>
      <c r="K22" s="32">
        <f>4208.33</f>
        <v>4208.33</v>
      </c>
      <c r="L22" s="32">
        <f t="shared" si="31"/>
        <v>-194.42999999999984</v>
      </c>
      <c r="M22" s="33">
        <f t="shared" si="32"/>
        <v>0.95379877528615864</v>
      </c>
      <c r="N22" s="32">
        <f>-3.35</f>
        <v>-3.35</v>
      </c>
      <c r="O22" s="32">
        <f>4208.33</f>
        <v>4208.33</v>
      </c>
      <c r="P22" s="32">
        <f t="shared" si="33"/>
        <v>-4211.68</v>
      </c>
      <c r="Q22" s="33">
        <f t="shared" si="34"/>
        <v>-7.9604023448731447E-4</v>
      </c>
      <c r="R22" s="31"/>
      <c r="S22" s="32">
        <f>4208.33</f>
        <v>4208.33</v>
      </c>
      <c r="T22" s="32">
        <f t="shared" si="35"/>
        <v>-4208.33</v>
      </c>
      <c r="U22" s="33">
        <f t="shared" si="36"/>
        <v>0</v>
      </c>
      <c r="V22" s="31"/>
      <c r="W22" s="32">
        <f>4208.33</f>
        <v>4208.33</v>
      </c>
      <c r="X22" s="32">
        <f t="shared" si="37"/>
        <v>-4208.33</v>
      </c>
      <c r="Y22" s="33">
        <f t="shared" si="38"/>
        <v>0</v>
      </c>
      <c r="Z22" s="31"/>
      <c r="AA22" s="32">
        <f>4208.33</f>
        <v>4208.33</v>
      </c>
      <c r="AB22" s="32">
        <f t="shared" si="39"/>
        <v>-4208.33</v>
      </c>
      <c r="AC22" s="33">
        <f t="shared" si="40"/>
        <v>0</v>
      </c>
      <c r="AD22" s="31"/>
      <c r="AE22" s="32">
        <f>4208.33</f>
        <v>4208.33</v>
      </c>
      <c r="AF22" s="32">
        <f t="shared" si="41"/>
        <v>-4208.33</v>
      </c>
      <c r="AG22" s="33">
        <f t="shared" si="42"/>
        <v>0</v>
      </c>
      <c r="AH22" s="31"/>
      <c r="AI22" s="32">
        <f>4208.33</f>
        <v>4208.33</v>
      </c>
      <c r="AJ22" s="32">
        <f t="shared" si="43"/>
        <v>-4208.33</v>
      </c>
      <c r="AK22" s="33">
        <f t="shared" si="44"/>
        <v>0</v>
      </c>
      <c r="AL22" s="31"/>
      <c r="AM22" s="32">
        <f>4208.33</f>
        <v>4208.33</v>
      </c>
      <c r="AN22" s="32">
        <f t="shared" si="45"/>
        <v>-4208.33</v>
      </c>
      <c r="AO22" s="33">
        <f t="shared" si="46"/>
        <v>0</v>
      </c>
      <c r="AP22" s="31"/>
      <c r="AQ22" s="32">
        <f>4208.33</f>
        <v>4208.33</v>
      </c>
      <c r="AR22" s="32">
        <f t="shared" si="47"/>
        <v>-4208.33</v>
      </c>
      <c r="AS22" s="33">
        <f t="shared" si="48"/>
        <v>0</v>
      </c>
      <c r="AT22" s="31"/>
      <c r="AU22" s="32">
        <f>4208.37</f>
        <v>4208.37</v>
      </c>
      <c r="AV22" s="32">
        <f t="shared" si="49"/>
        <v>-4208.37</v>
      </c>
      <c r="AW22" s="33">
        <f t="shared" si="50"/>
        <v>0</v>
      </c>
      <c r="AX22" s="32">
        <f t="shared" si="51"/>
        <v>12038.35</v>
      </c>
      <c r="AY22" s="32">
        <f t="shared" si="51"/>
        <v>50500.000000000015</v>
      </c>
      <c r="AZ22" s="32">
        <f t="shared" si="52"/>
        <v>-38461.650000000016</v>
      </c>
      <c r="BA22" s="33">
        <f t="shared" si="53"/>
        <v>0.23838316831683162</v>
      </c>
    </row>
    <row r="23" spans="1:53" x14ac:dyDescent="0.3">
      <c r="A23" s="30" t="s">
        <v>101</v>
      </c>
      <c r="B23" s="31"/>
      <c r="C23" s="32">
        <f>1166.67</f>
        <v>1166.67</v>
      </c>
      <c r="D23" s="32">
        <f t="shared" si="27"/>
        <v>-1166.67</v>
      </c>
      <c r="E23" s="33">
        <f t="shared" si="28"/>
        <v>0</v>
      </c>
      <c r="F23" s="31"/>
      <c r="G23" s="32">
        <f>1166.67</f>
        <v>1166.67</v>
      </c>
      <c r="H23" s="32">
        <f t="shared" si="29"/>
        <v>-1166.67</v>
      </c>
      <c r="I23" s="33">
        <f t="shared" si="30"/>
        <v>0</v>
      </c>
      <c r="J23" s="31"/>
      <c r="K23" s="32">
        <f>1166.67</f>
        <v>1166.67</v>
      </c>
      <c r="L23" s="32">
        <f t="shared" si="31"/>
        <v>-1166.67</v>
      </c>
      <c r="M23" s="33">
        <f t="shared" si="32"/>
        <v>0</v>
      </c>
      <c r="N23" s="31"/>
      <c r="O23" s="32">
        <f>1166.67</f>
        <v>1166.67</v>
      </c>
      <c r="P23" s="32">
        <f t="shared" si="33"/>
        <v>-1166.67</v>
      </c>
      <c r="Q23" s="33">
        <f t="shared" si="34"/>
        <v>0</v>
      </c>
      <c r="R23" s="31"/>
      <c r="S23" s="32">
        <f>1166.67</f>
        <v>1166.67</v>
      </c>
      <c r="T23" s="32">
        <f t="shared" si="35"/>
        <v>-1166.67</v>
      </c>
      <c r="U23" s="33">
        <f t="shared" si="36"/>
        <v>0</v>
      </c>
      <c r="V23" s="31"/>
      <c r="W23" s="32">
        <f>1166.67</f>
        <v>1166.67</v>
      </c>
      <c r="X23" s="32">
        <f t="shared" si="37"/>
        <v>-1166.67</v>
      </c>
      <c r="Y23" s="33">
        <f t="shared" si="38"/>
        <v>0</v>
      </c>
      <c r="Z23" s="31"/>
      <c r="AA23" s="32">
        <f>1166.67</f>
        <v>1166.67</v>
      </c>
      <c r="AB23" s="32">
        <f t="shared" si="39"/>
        <v>-1166.67</v>
      </c>
      <c r="AC23" s="33">
        <f t="shared" si="40"/>
        <v>0</v>
      </c>
      <c r="AD23" s="31"/>
      <c r="AE23" s="32">
        <f>1166.67</f>
        <v>1166.67</v>
      </c>
      <c r="AF23" s="32">
        <f t="shared" si="41"/>
        <v>-1166.67</v>
      </c>
      <c r="AG23" s="33">
        <f t="shared" si="42"/>
        <v>0</v>
      </c>
      <c r="AH23" s="31"/>
      <c r="AI23" s="32">
        <f>1166.67</f>
        <v>1166.67</v>
      </c>
      <c r="AJ23" s="32">
        <f t="shared" si="43"/>
        <v>-1166.67</v>
      </c>
      <c r="AK23" s="33">
        <f t="shared" si="44"/>
        <v>0</v>
      </c>
      <c r="AL23" s="31"/>
      <c r="AM23" s="32">
        <f>1166.67</f>
        <v>1166.67</v>
      </c>
      <c r="AN23" s="32">
        <f t="shared" si="45"/>
        <v>-1166.67</v>
      </c>
      <c r="AO23" s="33">
        <f t="shared" si="46"/>
        <v>0</v>
      </c>
      <c r="AP23" s="31"/>
      <c r="AQ23" s="32">
        <f>1166.67</f>
        <v>1166.67</v>
      </c>
      <c r="AR23" s="32">
        <f t="shared" si="47"/>
        <v>-1166.67</v>
      </c>
      <c r="AS23" s="33">
        <f t="shared" si="48"/>
        <v>0</v>
      </c>
      <c r="AT23" s="31"/>
      <c r="AU23" s="32">
        <f>1166.63</f>
        <v>1166.6300000000001</v>
      </c>
      <c r="AV23" s="32">
        <f t="shared" si="49"/>
        <v>-1166.6300000000001</v>
      </c>
      <c r="AW23" s="33">
        <f t="shared" si="50"/>
        <v>0</v>
      </c>
      <c r="AX23" s="32">
        <f t="shared" si="51"/>
        <v>0</v>
      </c>
      <c r="AY23" s="32">
        <f t="shared" si="51"/>
        <v>14000</v>
      </c>
      <c r="AZ23" s="32">
        <f t="shared" si="52"/>
        <v>-14000</v>
      </c>
      <c r="BA23" s="33">
        <f t="shared" si="53"/>
        <v>0</v>
      </c>
    </row>
    <row r="24" spans="1:53" x14ac:dyDescent="0.3">
      <c r="A24" s="30" t="s">
        <v>102</v>
      </c>
      <c r="B24" s="31"/>
      <c r="C24" s="32">
        <f>166.67</f>
        <v>166.67</v>
      </c>
      <c r="D24" s="32">
        <f t="shared" si="27"/>
        <v>-166.67</v>
      </c>
      <c r="E24" s="33">
        <f t="shared" si="28"/>
        <v>0</v>
      </c>
      <c r="F24" s="31"/>
      <c r="G24" s="32">
        <f>166.67</f>
        <v>166.67</v>
      </c>
      <c r="H24" s="32">
        <f t="shared" si="29"/>
        <v>-166.67</v>
      </c>
      <c r="I24" s="33">
        <f t="shared" si="30"/>
        <v>0</v>
      </c>
      <c r="J24" s="31"/>
      <c r="K24" s="32">
        <f>166.67</f>
        <v>166.67</v>
      </c>
      <c r="L24" s="32">
        <f t="shared" si="31"/>
        <v>-166.67</v>
      </c>
      <c r="M24" s="33">
        <f t="shared" si="32"/>
        <v>0</v>
      </c>
      <c r="N24" s="31"/>
      <c r="O24" s="32">
        <f>166.67</f>
        <v>166.67</v>
      </c>
      <c r="P24" s="32">
        <f t="shared" si="33"/>
        <v>-166.67</v>
      </c>
      <c r="Q24" s="33">
        <f t="shared" si="34"/>
        <v>0</v>
      </c>
      <c r="R24" s="31"/>
      <c r="S24" s="32">
        <f>166.67</f>
        <v>166.67</v>
      </c>
      <c r="T24" s="32">
        <f t="shared" si="35"/>
        <v>-166.67</v>
      </c>
      <c r="U24" s="33">
        <f t="shared" si="36"/>
        <v>0</v>
      </c>
      <c r="V24" s="31"/>
      <c r="W24" s="32">
        <f>166.67</f>
        <v>166.67</v>
      </c>
      <c r="X24" s="32">
        <f t="shared" si="37"/>
        <v>-166.67</v>
      </c>
      <c r="Y24" s="33">
        <f t="shared" si="38"/>
        <v>0</v>
      </c>
      <c r="Z24" s="31"/>
      <c r="AA24" s="32">
        <f>166.67</f>
        <v>166.67</v>
      </c>
      <c r="AB24" s="32">
        <f t="shared" si="39"/>
        <v>-166.67</v>
      </c>
      <c r="AC24" s="33">
        <f t="shared" si="40"/>
        <v>0</v>
      </c>
      <c r="AD24" s="31"/>
      <c r="AE24" s="32">
        <f>166.67</f>
        <v>166.67</v>
      </c>
      <c r="AF24" s="32">
        <f t="shared" si="41"/>
        <v>-166.67</v>
      </c>
      <c r="AG24" s="33">
        <f t="shared" si="42"/>
        <v>0</v>
      </c>
      <c r="AH24" s="31"/>
      <c r="AI24" s="32">
        <f>166.67</f>
        <v>166.67</v>
      </c>
      <c r="AJ24" s="32">
        <f t="shared" si="43"/>
        <v>-166.67</v>
      </c>
      <c r="AK24" s="33">
        <f t="shared" si="44"/>
        <v>0</v>
      </c>
      <c r="AL24" s="31"/>
      <c r="AM24" s="32">
        <f>166.67</f>
        <v>166.67</v>
      </c>
      <c r="AN24" s="32">
        <f t="shared" si="45"/>
        <v>-166.67</v>
      </c>
      <c r="AO24" s="33">
        <f t="shared" si="46"/>
        <v>0</v>
      </c>
      <c r="AP24" s="31"/>
      <c r="AQ24" s="32">
        <f>166.67</f>
        <v>166.67</v>
      </c>
      <c r="AR24" s="32">
        <f t="shared" si="47"/>
        <v>-166.67</v>
      </c>
      <c r="AS24" s="33">
        <f t="shared" si="48"/>
        <v>0</v>
      </c>
      <c r="AT24" s="31"/>
      <c r="AU24" s="32">
        <f>166.63</f>
        <v>166.63</v>
      </c>
      <c r="AV24" s="32">
        <f t="shared" si="49"/>
        <v>-166.63</v>
      </c>
      <c r="AW24" s="33">
        <f t="shared" si="50"/>
        <v>0</v>
      </c>
      <c r="AX24" s="32">
        <f t="shared" si="51"/>
        <v>0</v>
      </c>
      <c r="AY24" s="32">
        <f t="shared" si="51"/>
        <v>2000</v>
      </c>
      <c r="AZ24" s="32">
        <f t="shared" si="52"/>
        <v>-2000</v>
      </c>
      <c r="BA24" s="33">
        <f t="shared" si="53"/>
        <v>0</v>
      </c>
    </row>
    <row r="25" spans="1:53" x14ac:dyDescent="0.3">
      <c r="A25" s="30" t="s">
        <v>103</v>
      </c>
      <c r="B25" s="34">
        <f>((((B20)+(B21))+(B22))+(B23))+(B24)</f>
        <v>4168.3999999999996</v>
      </c>
      <c r="C25" s="34">
        <f>((((C20)+(C21))+(C22))+(C23))+(C24)</f>
        <v>5541.67</v>
      </c>
      <c r="D25" s="34">
        <f t="shared" si="27"/>
        <v>-1373.2700000000004</v>
      </c>
      <c r="E25" s="35">
        <f t="shared" si="28"/>
        <v>0.75219202875667435</v>
      </c>
      <c r="F25" s="34">
        <f>((((F20)+(F21))+(F22))+(F23))+(F24)</f>
        <v>4013.9</v>
      </c>
      <c r="G25" s="34">
        <f>((((G20)+(G21))+(G22))+(G23))+(G24)</f>
        <v>5541.67</v>
      </c>
      <c r="H25" s="34">
        <f t="shared" si="29"/>
        <v>-1527.77</v>
      </c>
      <c r="I25" s="35">
        <f t="shared" si="30"/>
        <v>0.724312346278288</v>
      </c>
      <c r="J25" s="34">
        <f>((((J20)+(J21))+(J22))+(J23))+(J24)</f>
        <v>4013.9</v>
      </c>
      <c r="K25" s="34">
        <f>((((K20)+(K21))+(K22))+(K23))+(K24)</f>
        <v>5541.67</v>
      </c>
      <c r="L25" s="34">
        <f t="shared" si="31"/>
        <v>-1527.77</v>
      </c>
      <c r="M25" s="35">
        <f t="shared" si="32"/>
        <v>0.724312346278288</v>
      </c>
      <c r="N25" s="34">
        <f>((((N20)+(N21))+(N22))+(N23))+(N24)</f>
        <v>-157.85</v>
      </c>
      <c r="O25" s="34">
        <f>((((O20)+(O21))+(O22))+(O23))+(O24)</f>
        <v>5541.67</v>
      </c>
      <c r="P25" s="34">
        <f t="shared" si="33"/>
        <v>-5699.52</v>
      </c>
      <c r="Q25" s="35">
        <f t="shared" si="34"/>
        <v>-2.848419339296638E-2</v>
      </c>
      <c r="R25" s="34">
        <f>((((R20)+(R21))+(R22))+(R23))+(R24)</f>
        <v>0</v>
      </c>
      <c r="S25" s="34">
        <f>((((S20)+(S21))+(S22))+(S23))+(S24)</f>
        <v>5541.67</v>
      </c>
      <c r="T25" s="34">
        <f t="shared" si="35"/>
        <v>-5541.67</v>
      </c>
      <c r="U25" s="35">
        <f t="shared" si="36"/>
        <v>0</v>
      </c>
      <c r="V25" s="34">
        <f>((((V20)+(V21))+(V22))+(V23))+(V24)</f>
        <v>0</v>
      </c>
      <c r="W25" s="34">
        <f>((((W20)+(W21))+(W22))+(W23))+(W24)</f>
        <v>5541.67</v>
      </c>
      <c r="X25" s="34">
        <f t="shared" si="37"/>
        <v>-5541.67</v>
      </c>
      <c r="Y25" s="35">
        <f t="shared" si="38"/>
        <v>0</v>
      </c>
      <c r="Z25" s="34">
        <f>((((Z20)+(Z21))+(Z22))+(Z23))+(Z24)</f>
        <v>0</v>
      </c>
      <c r="AA25" s="34">
        <f>((((AA20)+(AA21))+(AA22))+(AA23))+(AA24)</f>
        <v>5541.67</v>
      </c>
      <c r="AB25" s="34">
        <f t="shared" si="39"/>
        <v>-5541.67</v>
      </c>
      <c r="AC25" s="35">
        <f t="shared" si="40"/>
        <v>0</v>
      </c>
      <c r="AD25" s="34">
        <f>((((AD20)+(AD21))+(AD22))+(AD23))+(AD24)</f>
        <v>0</v>
      </c>
      <c r="AE25" s="34">
        <f>((((AE20)+(AE21))+(AE22))+(AE23))+(AE24)</f>
        <v>5541.67</v>
      </c>
      <c r="AF25" s="34">
        <f t="shared" si="41"/>
        <v>-5541.67</v>
      </c>
      <c r="AG25" s="35">
        <f t="shared" si="42"/>
        <v>0</v>
      </c>
      <c r="AH25" s="34">
        <f>((((AH20)+(AH21))+(AH22))+(AH23))+(AH24)</f>
        <v>0</v>
      </c>
      <c r="AI25" s="34">
        <f>((((AI20)+(AI21))+(AI22))+(AI23))+(AI24)</f>
        <v>5541.67</v>
      </c>
      <c r="AJ25" s="34">
        <f t="shared" si="43"/>
        <v>-5541.67</v>
      </c>
      <c r="AK25" s="35">
        <f t="shared" si="44"/>
        <v>0</v>
      </c>
      <c r="AL25" s="34">
        <f>((((AL20)+(AL21))+(AL22))+(AL23))+(AL24)</f>
        <v>0</v>
      </c>
      <c r="AM25" s="34">
        <f>((((AM20)+(AM21))+(AM22))+(AM23))+(AM24)</f>
        <v>5541.67</v>
      </c>
      <c r="AN25" s="34">
        <f t="shared" si="45"/>
        <v>-5541.67</v>
      </c>
      <c r="AO25" s="35">
        <f t="shared" si="46"/>
        <v>0</v>
      </c>
      <c r="AP25" s="34">
        <f>((((AP20)+(AP21))+(AP22))+(AP23))+(AP24)</f>
        <v>0</v>
      </c>
      <c r="AQ25" s="34">
        <f>((((AQ20)+(AQ21))+(AQ22))+(AQ23))+(AQ24)</f>
        <v>5541.67</v>
      </c>
      <c r="AR25" s="34">
        <f t="shared" si="47"/>
        <v>-5541.67</v>
      </c>
      <c r="AS25" s="35">
        <f t="shared" si="48"/>
        <v>0</v>
      </c>
      <c r="AT25" s="34">
        <f>((((AT20)+(AT21))+(AT22))+(AT23))+(AT24)</f>
        <v>0</v>
      </c>
      <c r="AU25" s="34">
        <f>((((AU20)+(AU21))+(AU22))+(AU23))+(AU24)</f>
        <v>5541.63</v>
      </c>
      <c r="AV25" s="34">
        <f t="shared" si="49"/>
        <v>-5541.63</v>
      </c>
      <c r="AW25" s="35">
        <f t="shared" si="50"/>
        <v>0</v>
      </c>
      <c r="AX25" s="34">
        <f t="shared" si="51"/>
        <v>12038.349999999999</v>
      </c>
      <c r="AY25" s="34">
        <f t="shared" si="51"/>
        <v>66499.999999999985</v>
      </c>
      <c r="AZ25" s="34">
        <f t="shared" si="52"/>
        <v>-54461.649999999987</v>
      </c>
      <c r="BA25" s="35">
        <f t="shared" si="53"/>
        <v>0.1810278195488722</v>
      </c>
    </row>
    <row r="26" spans="1:53" x14ac:dyDescent="0.3">
      <c r="A26" s="30" t="s">
        <v>104</v>
      </c>
      <c r="B26" s="31"/>
      <c r="C26" s="31"/>
      <c r="D26" s="32">
        <f t="shared" si="27"/>
        <v>0</v>
      </c>
      <c r="E26" s="33" t="str">
        <f t="shared" si="28"/>
        <v/>
      </c>
      <c r="F26" s="31"/>
      <c r="G26" s="31"/>
      <c r="H26" s="32">
        <f t="shared" si="29"/>
        <v>0</v>
      </c>
      <c r="I26" s="33" t="str">
        <f t="shared" si="30"/>
        <v/>
      </c>
      <c r="J26" s="31"/>
      <c r="K26" s="31"/>
      <c r="L26" s="32">
        <f t="shared" si="31"/>
        <v>0</v>
      </c>
      <c r="M26" s="33" t="str">
        <f t="shared" si="32"/>
        <v/>
      </c>
      <c r="N26" s="31"/>
      <c r="O26" s="31"/>
      <c r="P26" s="32">
        <f t="shared" si="33"/>
        <v>0</v>
      </c>
      <c r="Q26" s="33" t="str">
        <f t="shared" si="34"/>
        <v/>
      </c>
      <c r="R26" s="31"/>
      <c r="S26" s="31"/>
      <c r="T26" s="32">
        <f t="shared" si="35"/>
        <v>0</v>
      </c>
      <c r="U26" s="33" t="str">
        <f t="shared" si="36"/>
        <v/>
      </c>
      <c r="V26" s="31"/>
      <c r="W26" s="31"/>
      <c r="X26" s="32">
        <f t="shared" si="37"/>
        <v>0</v>
      </c>
      <c r="Y26" s="33" t="str">
        <f t="shared" si="38"/>
        <v/>
      </c>
      <c r="Z26" s="31"/>
      <c r="AA26" s="31"/>
      <c r="AB26" s="32">
        <f t="shared" si="39"/>
        <v>0</v>
      </c>
      <c r="AC26" s="33" t="str">
        <f t="shared" si="40"/>
        <v/>
      </c>
      <c r="AD26" s="31"/>
      <c r="AE26" s="31"/>
      <c r="AF26" s="32">
        <f t="shared" si="41"/>
        <v>0</v>
      </c>
      <c r="AG26" s="33" t="str">
        <f t="shared" si="42"/>
        <v/>
      </c>
      <c r="AH26" s="31"/>
      <c r="AI26" s="31"/>
      <c r="AJ26" s="32">
        <f t="shared" si="43"/>
        <v>0</v>
      </c>
      <c r="AK26" s="33" t="str">
        <f t="shared" si="44"/>
        <v/>
      </c>
      <c r="AL26" s="31"/>
      <c r="AM26" s="31"/>
      <c r="AN26" s="32">
        <f t="shared" si="45"/>
        <v>0</v>
      </c>
      <c r="AO26" s="33" t="str">
        <f t="shared" si="46"/>
        <v/>
      </c>
      <c r="AP26" s="31"/>
      <c r="AQ26" s="31"/>
      <c r="AR26" s="32">
        <f t="shared" si="47"/>
        <v>0</v>
      </c>
      <c r="AS26" s="33" t="str">
        <f t="shared" si="48"/>
        <v/>
      </c>
      <c r="AT26" s="31"/>
      <c r="AU26" s="31"/>
      <c r="AV26" s="32">
        <f t="shared" si="49"/>
        <v>0</v>
      </c>
      <c r="AW26" s="33" t="str">
        <f t="shared" si="50"/>
        <v/>
      </c>
      <c r="AX26" s="32">
        <f t="shared" si="51"/>
        <v>0</v>
      </c>
      <c r="AY26" s="32">
        <f t="shared" si="51"/>
        <v>0</v>
      </c>
      <c r="AZ26" s="32">
        <f t="shared" si="52"/>
        <v>0</v>
      </c>
      <c r="BA26" s="33" t="str">
        <f t="shared" si="53"/>
        <v/>
      </c>
    </row>
    <row r="27" spans="1:53" x14ac:dyDescent="0.3">
      <c r="A27" s="30" t="s">
        <v>105</v>
      </c>
      <c r="B27" s="32">
        <f>2636.21</f>
        <v>2636.21</v>
      </c>
      <c r="C27" s="32">
        <f>4166.67</f>
        <v>4166.67</v>
      </c>
      <c r="D27" s="32">
        <f t="shared" si="27"/>
        <v>-1530.46</v>
      </c>
      <c r="E27" s="33">
        <f t="shared" si="28"/>
        <v>0.63268989384808494</v>
      </c>
      <c r="F27" s="32">
        <f>2615.41</f>
        <v>2615.41</v>
      </c>
      <c r="G27" s="32">
        <f>4166.67</f>
        <v>4166.67</v>
      </c>
      <c r="H27" s="32">
        <f t="shared" si="29"/>
        <v>-1551.2600000000002</v>
      </c>
      <c r="I27" s="33">
        <f t="shared" si="30"/>
        <v>0.62769789784168173</v>
      </c>
      <c r="J27" s="32">
        <f>2542.77</f>
        <v>2542.77</v>
      </c>
      <c r="K27" s="32">
        <f>4166.67</f>
        <v>4166.67</v>
      </c>
      <c r="L27" s="32">
        <f t="shared" si="31"/>
        <v>-1623.9</v>
      </c>
      <c r="M27" s="33">
        <f t="shared" si="32"/>
        <v>0.61026431178855056</v>
      </c>
      <c r="N27" s="32">
        <f>1293.57</f>
        <v>1293.57</v>
      </c>
      <c r="O27" s="32">
        <f>4166.67</f>
        <v>4166.67</v>
      </c>
      <c r="P27" s="32">
        <f t="shared" si="33"/>
        <v>-2873.1000000000004</v>
      </c>
      <c r="Q27" s="33">
        <f t="shared" si="34"/>
        <v>0.31045655163475866</v>
      </c>
      <c r="R27" s="31"/>
      <c r="S27" s="32">
        <f>4166.67</f>
        <v>4166.67</v>
      </c>
      <c r="T27" s="32">
        <f t="shared" si="35"/>
        <v>-4166.67</v>
      </c>
      <c r="U27" s="33">
        <f t="shared" si="36"/>
        <v>0</v>
      </c>
      <c r="V27" s="31"/>
      <c r="W27" s="32">
        <f>4166.67</f>
        <v>4166.67</v>
      </c>
      <c r="X27" s="32">
        <f t="shared" si="37"/>
        <v>-4166.67</v>
      </c>
      <c r="Y27" s="33">
        <f t="shared" si="38"/>
        <v>0</v>
      </c>
      <c r="Z27" s="31"/>
      <c r="AA27" s="32">
        <f>4166.67</f>
        <v>4166.67</v>
      </c>
      <c r="AB27" s="32">
        <f t="shared" si="39"/>
        <v>-4166.67</v>
      </c>
      <c r="AC27" s="33">
        <f t="shared" si="40"/>
        <v>0</v>
      </c>
      <c r="AD27" s="31"/>
      <c r="AE27" s="32">
        <f>4166.67</f>
        <v>4166.67</v>
      </c>
      <c r="AF27" s="32">
        <f t="shared" si="41"/>
        <v>-4166.67</v>
      </c>
      <c r="AG27" s="33">
        <f t="shared" si="42"/>
        <v>0</v>
      </c>
      <c r="AH27" s="31"/>
      <c r="AI27" s="32">
        <f>4166.67</f>
        <v>4166.67</v>
      </c>
      <c r="AJ27" s="32">
        <f t="shared" si="43"/>
        <v>-4166.67</v>
      </c>
      <c r="AK27" s="33">
        <f t="shared" si="44"/>
        <v>0</v>
      </c>
      <c r="AL27" s="31"/>
      <c r="AM27" s="32">
        <f>4166.67</f>
        <v>4166.67</v>
      </c>
      <c r="AN27" s="32">
        <f t="shared" si="45"/>
        <v>-4166.67</v>
      </c>
      <c r="AO27" s="33">
        <f t="shared" si="46"/>
        <v>0</v>
      </c>
      <c r="AP27" s="31"/>
      <c r="AQ27" s="32">
        <f>4166.67</f>
        <v>4166.67</v>
      </c>
      <c r="AR27" s="32">
        <f t="shared" si="47"/>
        <v>-4166.67</v>
      </c>
      <c r="AS27" s="33">
        <f t="shared" si="48"/>
        <v>0</v>
      </c>
      <c r="AT27" s="31"/>
      <c r="AU27" s="32">
        <f>4166.63</f>
        <v>4166.63</v>
      </c>
      <c r="AV27" s="32">
        <f t="shared" si="49"/>
        <v>-4166.63</v>
      </c>
      <c r="AW27" s="33">
        <f t="shared" si="50"/>
        <v>0</v>
      </c>
      <c r="AX27" s="32">
        <f t="shared" si="51"/>
        <v>9087.9599999999991</v>
      </c>
      <c r="AY27" s="32">
        <f t="shared" si="51"/>
        <v>49999.999999999985</v>
      </c>
      <c r="AZ27" s="32">
        <f t="shared" si="52"/>
        <v>-40912.039999999986</v>
      </c>
      <c r="BA27" s="33">
        <f t="shared" si="53"/>
        <v>0.18175920000000004</v>
      </c>
    </row>
    <row r="28" spans="1:53" x14ac:dyDescent="0.3">
      <c r="A28" s="30" t="s">
        <v>106</v>
      </c>
      <c r="B28" s="32">
        <f>31610.81</f>
        <v>31610.81</v>
      </c>
      <c r="C28" s="32">
        <f>35416.67</f>
        <v>35416.67</v>
      </c>
      <c r="D28" s="32">
        <f t="shared" si="27"/>
        <v>-3805.8599999999969</v>
      </c>
      <c r="E28" s="33">
        <f t="shared" si="28"/>
        <v>0.89254043364325342</v>
      </c>
      <c r="F28" s="32">
        <f>32251.25</f>
        <v>32251.25</v>
      </c>
      <c r="G28" s="32">
        <f>35416.67</f>
        <v>35416.67</v>
      </c>
      <c r="H28" s="32">
        <f t="shared" si="29"/>
        <v>-3165.4199999999983</v>
      </c>
      <c r="I28" s="33">
        <f t="shared" si="30"/>
        <v>0.91062344370602888</v>
      </c>
      <c r="J28" s="32">
        <f>31955.29</f>
        <v>31955.29</v>
      </c>
      <c r="K28" s="32">
        <f>35416.67</f>
        <v>35416.67</v>
      </c>
      <c r="L28" s="32">
        <f t="shared" si="31"/>
        <v>-3461.3799999999974</v>
      </c>
      <c r="M28" s="33">
        <f t="shared" si="32"/>
        <v>0.90226692684546583</v>
      </c>
      <c r="N28" s="32">
        <f>16396.98</f>
        <v>16396.98</v>
      </c>
      <c r="O28" s="32">
        <f>35416.67</f>
        <v>35416.67</v>
      </c>
      <c r="P28" s="32">
        <f t="shared" si="33"/>
        <v>-19019.689999999999</v>
      </c>
      <c r="Q28" s="33">
        <f t="shared" si="34"/>
        <v>0.46297350936719911</v>
      </c>
      <c r="R28" s="31"/>
      <c r="S28" s="32">
        <f>35416.67</f>
        <v>35416.67</v>
      </c>
      <c r="T28" s="32">
        <f t="shared" si="35"/>
        <v>-35416.67</v>
      </c>
      <c r="U28" s="33">
        <f t="shared" si="36"/>
        <v>0</v>
      </c>
      <c r="V28" s="31"/>
      <c r="W28" s="32">
        <f>35416.67</f>
        <v>35416.67</v>
      </c>
      <c r="X28" s="32">
        <f t="shared" si="37"/>
        <v>-35416.67</v>
      </c>
      <c r="Y28" s="33">
        <f t="shared" si="38"/>
        <v>0</v>
      </c>
      <c r="Z28" s="31"/>
      <c r="AA28" s="32">
        <f>35416.67</f>
        <v>35416.67</v>
      </c>
      <c r="AB28" s="32">
        <f t="shared" si="39"/>
        <v>-35416.67</v>
      </c>
      <c r="AC28" s="33">
        <f t="shared" si="40"/>
        <v>0</v>
      </c>
      <c r="AD28" s="31"/>
      <c r="AE28" s="32">
        <f>35416.67</f>
        <v>35416.67</v>
      </c>
      <c r="AF28" s="32">
        <f t="shared" si="41"/>
        <v>-35416.67</v>
      </c>
      <c r="AG28" s="33">
        <f t="shared" si="42"/>
        <v>0</v>
      </c>
      <c r="AH28" s="31"/>
      <c r="AI28" s="32">
        <f>35416.67</f>
        <v>35416.67</v>
      </c>
      <c r="AJ28" s="32">
        <f t="shared" si="43"/>
        <v>-35416.67</v>
      </c>
      <c r="AK28" s="33">
        <f t="shared" si="44"/>
        <v>0</v>
      </c>
      <c r="AL28" s="31"/>
      <c r="AM28" s="32">
        <f>35416.67</f>
        <v>35416.67</v>
      </c>
      <c r="AN28" s="32">
        <f t="shared" si="45"/>
        <v>-35416.67</v>
      </c>
      <c r="AO28" s="33">
        <f t="shared" si="46"/>
        <v>0</v>
      </c>
      <c r="AP28" s="31"/>
      <c r="AQ28" s="32">
        <f>35416.67</f>
        <v>35416.67</v>
      </c>
      <c r="AR28" s="32">
        <f t="shared" si="47"/>
        <v>-35416.67</v>
      </c>
      <c r="AS28" s="33">
        <f t="shared" si="48"/>
        <v>0</v>
      </c>
      <c r="AT28" s="31"/>
      <c r="AU28" s="32">
        <f>35416.63</f>
        <v>35416.629999999997</v>
      </c>
      <c r="AV28" s="32">
        <f t="shared" si="49"/>
        <v>-35416.629999999997</v>
      </c>
      <c r="AW28" s="33">
        <f t="shared" si="50"/>
        <v>0</v>
      </c>
      <c r="AX28" s="32">
        <f t="shared" si="51"/>
        <v>112214.33</v>
      </c>
      <c r="AY28" s="32">
        <f t="shared" si="51"/>
        <v>424999.99999999988</v>
      </c>
      <c r="AZ28" s="32">
        <f t="shared" si="52"/>
        <v>-312785.66999999987</v>
      </c>
      <c r="BA28" s="33">
        <f t="shared" si="53"/>
        <v>0.26403371764705891</v>
      </c>
    </row>
    <row r="29" spans="1:53" x14ac:dyDescent="0.3">
      <c r="A29" s="30" t="s">
        <v>107</v>
      </c>
      <c r="B29" s="34">
        <f>((B26)+(B27))+(B28)</f>
        <v>34247.020000000004</v>
      </c>
      <c r="C29" s="34">
        <f>((C26)+(C27))+(C28)</f>
        <v>39583.339999999997</v>
      </c>
      <c r="D29" s="34">
        <f t="shared" si="27"/>
        <v>-5336.3199999999924</v>
      </c>
      <c r="E29" s="35">
        <f t="shared" si="28"/>
        <v>0.86518772796838284</v>
      </c>
      <c r="F29" s="34">
        <f>((F26)+(F27))+(F28)</f>
        <v>34866.660000000003</v>
      </c>
      <c r="G29" s="34">
        <f>((G26)+(G27))+(G28)</f>
        <v>39583.339999999997</v>
      </c>
      <c r="H29" s="34">
        <f t="shared" si="29"/>
        <v>-4716.679999999993</v>
      </c>
      <c r="I29" s="35">
        <f t="shared" si="30"/>
        <v>0.88084178848980421</v>
      </c>
      <c r="J29" s="34">
        <f>((J26)+(J27))+(J28)</f>
        <v>34498.06</v>
      </c>
      <c r="K29" s="34">
        <f>((K26)+(K27))+(K28)</f>
        <v>39583.339999999997</v>
      </c>
      <c r="L29" s="34">
        <f t="shared" si="31"/>
        <v>-5085.2799999999988</v>
      </c>
      <c r="M29" s="35">
        <f t="shared" si="32"/>
        <v>0.87152979005814069</v>
      </c>
      <c r="N29" s="34">
        <f>((N26)+(N27))+(N28)</f>
        <v>17690.55</v>
      </c>
      <c r="O29" s="34">
        <f>((O26)+(O27))+(O28)</f>
        <v>39583.339999999997</v>
      </c>
      <c r="P29" s="34">
        <f t="shared" si="33"/>
        <v>-21892.789999999997</v>
      </c>
      <c r="Q29" s="35">
        <f t="shared" si="34"/>
        <v>0.44691908262415453</v>
      </c>
      <c r="R29" s="34">
        <f>((R26)+(R27))+(R28)</f>
        <v>0</v>
      </c>
      <c r="S29" s="34">
        <f>((S26)+(S27))+(S28)</f>
        <v>39583.339999999997</v>
      </c>
      <c r="T29" s="34">
        <f t="shared" si="35"/>
        <v>-39583.339999999997</v>
      </c>
      <c r="U29" s="35">
        <f t="shared" si="36"/>
        <v>0</v>
      </c>
      <c r="V29" s="34">
        <f>((V26)+(V27))+(V28)</f>
        <v>0</v>
      </c>
      <c r="W29" s="34">
        <f>((W26)+(W27))+(W28)</f>
        <v>39583.339999999997</v>
      </c>
      <c r="X29" s="34">
        <f t="shared" si="37"/>
        <v>-39583.339999999997</v>
      </c>
      <c r="Y29" s="35">
        <f t="shared" si="38"/>
        <v>0</v>
      </c>
      <c r="Z29" s="34">
        <f>((Z26)+(Z27))+(Z28)</f>
        <v>0</v>
      </c>
      <c r="AA29" s="34">
        <f>((AA26)+(AA27))+(AA28)</f>
        <v>39583.339999999997</v>
      </c>
      <c r="AB29" s="34">
        <f t="shared" si="39"/>
        <v>-39583.339999999997</v>
      </c>
      <c r="AC29" s="35">
        <f t="shared" si="40"/>
        <v>0</v>
      </c>
      <c r="AD29" s="34">
        <f>((AD26)+(AD27))+(AD28)</f>
        <v>0</v>
      </c>
      <c r="AE29" s="34">
        <f>((AE26)+(AE27))+(AE28)</f>
        <v>39583.339999999997</v>
      </c>
      <c r="AF29" s="34">
        <f t="shared" si="41"/>
        <v>-39583.339999999997</v>
      </c>
      <c r="AG29" s="35">
        <f t="shared" si="42"/>
        <v>0</v>
      </c>
      <c r="AH29" s="34">
        <f>((AH26)+(AH27))+(AH28)</f>
        <v>0</v>
      </c>
      <c r="AI29" s="34">
        <f>((AI26)+(AI27))+(AI28)</f>
        <v>39583.339999999997</v>
      </c>
      <c r="AJ29" s="34">
        <f t="shared" si="43"/>
        <v>-39583.339999999997</v>
      </c>
      <c r="AK29" s="35">
        <f t="shared" si="44"/>
        <v>0</v>
      </c>
      <c r="AL29" s="34">
        <f>((AL26)+(AL27))+(AL28)</f>
        <v>0</v>
      </c>
      <c r="AM29" s="34">
        <f>((AM26)+(AM27))+(AM28)</f>
        <v>39583.339999999997</v>
      </c>
      <c r="AN29" s="34">
        <f t="shared" si="45"/>
        <v>-39583.339999999997</v>
      </c>
      <c r="AO29" s="35">
        <f t="shared" si="46"/>
        <v>0</v>
      </c>
      <c r="AP29" s="34">
        <f>((AP26)+(AP27))+(AP28)</f>
        <v>0</v>
      </c>
      <c r="AQ29" s="34">
        <f>((AQ26)+(AQ27))+(AQ28)</f>
        <v>39583.339999999997</v>
      </c>
      <c r="AR29" s="34">
        <f t="shared" si="47"/>
        <v>-39583.339999999997</v>
      </c>
      <c r="AS29" s="35">
        <f t="shared" si="48"/>
        <v>0</v>
      </c>
      <c r="AT29" s="34">
        <f>((AT26)+(AT27))+(AT28)</f>
        <v>0</v>
      </c>
      <c r="AU29" s="34">
        <f>((AU26)+(AU27))+(AU28)</f>
        <v>39583.259999999995</v>
      </c>
      <c r="AV29" s="34">
        <f t="shared" si="49"/>
        <v>-39583.259999999995</v>
      </c>
      <c r="AW29" s="35">
        <f t="shared" si="50"/>
        <v>0</v>
      </c>
      <c r="AX29" s="34">
        <f t="shared" si="51"/>
        <v>121302.29000000001</v>
      </c>
      <c r="AY29" s="34">
        <f t="shared" si="51"/>
        <v>474999.99999999988</v>
      </c>
      <c r="AZ29" s="34">
        <f t="shared" si="52"/>
        <v>-353697.70999999985</v>
      </c>
      <c r="BA29" s="35">
        <f t="shared" si="53"/>
        <v>0.25537324210526324</v>
      </c>
    </row>
    <row r="30" spans="1:53" x14ac:dyDescent="0.3">
      <c r="A30" s="30" t="s">
        <v>108</v>
      </c>
      <c r="B30" s="32">
        <f>248</f>
        <v>248</v>
      </c>
      <c r="C30" s="32">
        <f>1041.67</f>
        <v>1041.67</v>
      </c>
      <c r="D30" s="32">
        <f t="shared" si="27"/>
        <v>-793.67000000000007</v>
      </c>
      <c r="E30" s="33">
        <f t="shared" si="28"/>
        <v>0.23807923814643792</v>
      </c>
      <c r="F30" s="32">
        <f>198</f>
        <v>198</v>
      </c>
      <c r="G30" s="32">
        <f>1041.67</f>
        <v>1041.67</v>
      </c>
      <c r="H30" s="32">
        <f t="shared" si="29"/>
        <v>-843.67000000000007</v>
      </c>
      <c r="I30" s="33">
        <f t="shared" si="30"/>
        <v>0.1900793917459464</v>
      </c>
      <c r="J30" s="32">
        <f>198</f>
        <v>198</v>
      </c>
      <c r="K30" s="32">
        <f>1041.67</f>
        <v>1041.67</v>
      </c>
      <c r="L30" s="32">
        <f t="shared" si="31"/>
        <v>-843.67000000000007</v>
      </c>
      <c r="M30" s="33">
        <f t="shared" si="32"/>
        <v>0.1900793917459464</v>
      </c>
      <c r="N30" s="31"/>
      <c r="O30" s="32">
        <f>1041.67</f>
        <v>1041.67</v>
      </c>
      <c r="P30" s="32">
        <f t="shared" si="33"/>
        <v>-1041.67</v>
      </c>
      <c r="Q30" s="33">
        <f t="shared" si="34"/>
        <v>0</v>
      </c>
      <c r="R30" s="31"/>
      <c r="S30" s="32">
        <f>1041.67</f>
        <v>1041.67</v>
      </c>
      <c r="T30" s="32">
        <f t="shared" si="35"/>
        <v>-1041.67</v>
      </c>
      <c r="U30" s="33">
        <f t="shared" si="36"/>
        <v>0</v>
      </c>
      <c r="V30" s="31"/>
      <c r="W30" s="32">
        <f>1041.67</f>
        <v>1041.67</v>
      </c>
      <c r="X30" s="32">
        <f t="shared" si="37"/>
        <v>-1041.67</v>
      </c>
      <c r="Y30" s="33">
        <f t="shared" si="38"/>
        <v>0</v>
      </c>
      <c r="Z30" s="31"/>
      <c r="AA30" s="32">
        <f>1041.67</f>
        <v>1041.67</v>
      </c>
      <c r="AB30" s="32">
        <f t="shared" si="39"/>
        <v>-1041.67</v>
      </c>
      <c r="AC30" s="33">
        <f t="shared" si="40"/>
        <v>0</v>
      </c>
      <c r="AD30" s="31"/>
      <c r="AE30" s="32">
        <f>1041.67</f>
        <v>1041.67</v>
      </c>
      <c r="AF30" s="32">
        <f t="shared" si="41"/>
        <v>-1041.67</v>
      </c>
      <c r="AG30" s="33">
        <f t="shared" si="42"/>
        <v>0</v>
      </c>
      <c r="AH30" s="31"/>
      <c r="AI30" s="32">
        <f>1041.67</f>
        <v>1041.67</v>
      </c>
      <c r="AJ30" s="32">
        <f t="shared" si="43"/>
        <v>-1041.67</v>
      </c>
      <c r="AK30" s="33">
        <f t="shared" si="44"/>
        <v>0</v>
      </c>
      <c r="AL30" s="31"/>
      <c r="AM30" s="32">
        <f>1041.67</f>
        <v>1041.67</v>
      </c>
      <c r="AN30" s="32">
        <f t="shared" si="45"/>
        <v>-1041.67</v>
      </c>
      <c r="AO30" s="33">
        <f t="shared" si="46"/>
        <v>0</v>
      </c>
      <c r="AP30" s="31"/>
      <c r="AQ30" s="32">
        <f>1041.67</f>
        <v>1041.67</v>
      </c>
      <c r="AR30" s="32">
        <f t="shared" si="47"/>
        <v>-1041.67</v>
      </c>
      <c r="AS30" s="33">
        <f t="shared" si="48"/>
        <v>0</v>
      </c>
      <c r="AT30" s="31"/>
      <c r="AU30" s="32">
        <f>1041.63</f>
        <v>1041.6300000000001</v>
      </c>
      <c r="AV30" s="32">
        <f t="shared" si="49"/>
        <v>-1041.6300000000001</v>
      </c>
      <c r="AW30" s="33">
        <f t="shared" si="50"/>
        <v>0</v>
      </c>
      <c r="AX30" s="32">
        <f t="shared" si="51"/>
        <v>644</v>
      </c>
      <c r="AY30" s="32">
        <f t="shared" si="51"/>
        <v>12500</v>
      </c>
      <c r="AZ30" s="32">
        <f t="shared" si="52"/>
        <v>-11856</v>
      </c>
      <c r="BA30" s="33">
        <f t="shared" si="53"/>
        <v>5.1520000000000003E-2</v>
      </c>
    </row>
    <row r="31" spans="1:53" x14ac:dyDescent="0.3">
      <c r="A31" s="30" t="s">
        <v>109</v>
      </c>
      <c r="B31" s="31"/>
      <c r="C31" s="32">
        <f>1000</f>
        <v>1000</v>
      </c>
      <c r="D31" s="32">
        <f t="shared" si="27"/>
        <v>-1000</v>
      </c>
      <c r="E31" s="33">
        <f t="shared" si="28"/>
        <v>0</v>
      </c>
      <c r="F31" s="31"/>
      <c r="G31" s="32">
        <f>1000</f>
        <v>1000</v>
      </c>
      <c r="H31" s="32">
        <f t="shared" si="29"/>
        <v>-1000</v>
      </c>
      <c r="I31" s="33">
        <f t="shared" si="30"/>
        <v>0</v>
      </c>
      <c r="J31" s="31"/>
      <c r="K31" s="32">
        <f>1000</f>
        <v>1000</v>
      </c>
      <c r="L31" s="32">
        <f t="shared" si="31"/>
        <v>-1000</v>
      </c>
      <c r="M31" s="33">
        <f t="shared" si="32"/>
        <v>0</v>
      </c>
      <c r="N31" s="31"/>
      <c r="O31" s="32">
        <f>1000</f>
        <v>1000</v>
      </c>
      <c r="P31" s="32">
        <f t="shared" si="33"/>
        <v>-1000</v>
      </c>
      <c r="Q31" s="33">
        <f t="shared" si="34"/>
        <v>0</v>
      </c>
      <c r="R31" s="31"/>
      <c r="S31" s="32">
        <f>1000</f>
        <v>1000</v>
      </c>
      <c r="T31" s="32">
        <f t="shared" si="35"/>
        <v>-1000</v>
      </c>
      <c r="U31" s="33">
        <f t="shared" si="36"/>
        <v>0</v>
      </c>
      <c r="V31" s="31"/>
      <c r="W31" s="32">
        <f>1000</f>
        <v>1000</v>
      </c>
      <c r="X31" s="32">
        <f t="shared" si="37"/>
        <v>-1000</v>
      </c>
      <c r="Y31" s="33">
        <f t="shared" si="38"/>
        <v>0</v>
      </c>
      <c r="Z31" s="31"/>
      <c r="AA31" s="32">
        <f>1000</f>
        <v>1000</v>
      </c>
      <c r="AB31" s="32">
        <f t="shared" si="39"/>
        <v>-1000</v>
      </c>
      <c r="AC31" s="33">
        <f t="shared" si="40"/>
        <v>0</v>
      </c>
      <c r="AD31" s="31"/>
      <c r="AE31" s="32">
        <f>1000</f>
        <v>1000</v>
      </c>
      <c r="AF31" s="32">
        <f t="shared" si="41"/>
        <v>-1000</v>
      </c>
      <c r="AG31" s="33">
        <f t="shared" si="42"/>
        <v>0</v>
      </c>
      <c r="AH31" s="31"/>
      <c r="AI31" s="32">
        <f>1000</f>
        <v>1000</v>
      </c>
      <c r="AJ31" s="32">
        <f t="shared" si="43"/>
        <v>-1000</v>
      </c>
      <c r="AK31" s="33">
        <f t="shared" si="44"/>
        <v>0</v>
      </c>
      <c r="AL31" s="31"/>
      <c r="AM31" s="32">
        <f>1000</f>
        <v>1000</v>
      </c>
      <c r="AN31" s="32">
        <f t="shared" si="45"/>
        <v>-1000</v>
      </c>
      <c r="AO31" s="33">
        <f t="shared" si="46"/>
        <v>0</v>
      </c>
      <c r="AP31" s="31"/>
      <c r="AQ31" s="32">
        <f>1000</f>
        <v>1000</v>
      </c>
      <c r="AR31" s="32">
        <f t="shared" si="47"/>
        <v>-1000</v>
      </c>
      <c r="AS31" s="33">
        <f t="shared" si="48"/>
        <v>0</v>
      </c>
      <c r="AT31" s="31"/>
      <c r="AU31" s="32">
        <f>1000</f>
        <v>1000</v>
      </c>
      <c r="AV31" s="32">
        <f t="shared" si="49"/>
        <v>-1000</v>
      </c>
      <c r="AW31" s="33">
        <f t="shared" si="50"/>
        <v>0</v>
      </c>
      <c r="AX31" s="32">
        <f t="shared" si="51"/>
        <v>0</v>
      </c>
      <c r="AY31" s="32">
        <f t="shared" si="51"/>
        <v>12000</v>
      </c>
      <c r="AZ31" s="32">
        <f t="shared" si="52"/>
        <v>-12000</v>
      </c>
      <c r="BA31" s="33">
        <f t="shared" si="53"/>
        <v>0</v>
      </c>
    </row>
    <row r="32" spans="1:53" x14ac:dyDescent="0.3">
      <c r="A32" s="30" t="s">
        <v>110</v>
      </c>
      <c r="B32" s="31"/>
      <c r="C32" s="32">
        <f>1666.67</f>
        <v>1666.67</v>
      </c>
      <c r="D32" s="32">
        <f t="shared" si="27"/>
        <v>-1666.67</v>
      </c>
      <c r="E32" s="33">
        <f t="shared" si="28"/>
        <v>0</v>
      </c>
      <c r="F32" s="31"/>
      <c r="G32" s="32">
        <f>1666.67</f>
        <v>1666.67</v>
      </c>
      <c r="H32" s="32">
        <f t="shared" si="29"/>
        <v>-1666.67</v>
      </c>
      <c r="I32" s="33">
        <f t="shared" si="30"/>
        <v>0</v>
      </c>
      <c r="J32" s="32">
        <f>90</f>
        <v>90</v>
      </c>
      <c r="K32" s="32">
        <f>1666.67</f>
        <v>1666.67</v>
      </c>
      <c r="L32" s="32">
        <f t="shared" si="31"/>
        <v>-1576.67</v>
      </c>
      <c r="M32" s="33">
        <f t="shared" si="32"/>
        <v>5.3999892000215995E-2</v>
      </c>
      <c r="N32" s="31"/>
      <c r="O32" s="32">
        <f>1666.67</f>
        <v>1666.67</v>
      </c>
      <c r="P32" s="32">
        <f t="shared" si="33"/>
        <v>-1666.67</v>
      </c>
      <c r="Q32" s="33">
        <f t="shared" si="34"/>
        <v>0</v>
      </c>
      <c r="R32" s="31"/>
      <c r="S32" s="32">
        <f>1666.67</f>
        <v>1666.67</v>
      </c>
      <c r="T32" s="32">
        <f t="shared" si="35"/>
        <v>-1666.67</v>
      </c>
      <c r="U32" s="33">
        <f t="shared" si="36"/>
        <v>0</v>
      </c>
      <c r="V32" s="31"/>
      <c r="W32" s="32">
        <f>1666.67</f>
        <v>1666.67</v>
      </c>
      <c r="X32" s="32">
        <f t="shared" si="37"/>
        <v>-1666.67</v>
      </c>
      <c r="Y32" s="33">
        <f t="shared" si="38"/>
        <v>0</v>
      </c>
      <c r="Z32" s="31"/>
      <c r="AA32" s="32">
        <f>1666.67</f>
        <v>1666.67</v>
      </c>
      <c r="AB32" s="32">
        <f t="shared" si="39"/>
        <v>-1666.67</v>
      </c>
      <c r="AC32" s="33">
        <f t="shared" si="40"/>
        <v>0</v>
      </c>
      <c r="AD32" s="31"/>
      <c r="AE32" s="32">
        <f>1666.67</f>
        <v>1666.67</v>
      </c>
      <c r="AF32" s="32">
        <f t="shared" si="41"/>
        <v>-1666.67</v>
      </c>
      <c r="AG32" s="33">
        <f t="shared" si="42"/>
        <v>0</v>
      </c>
      <c r="AH32" s="31"/>
      <c r="AI32" s="32">
        <f>1666.67</f>
        <v>1666.67</v>
      </c>
      <c r="AJ32" s="32">
        <f t="shared" si="43"/>
        <v>-1666.67</v>
      </c>
      <c r="AK32" s="33">
        <f t="shared" si="44"/>
        <v>0</v>
      </c>
      <c r="AL32" s="31"/>
      <c r="AM32" s="32">
        <f>1666.67</f>
        <v>1666.67</v>
      </c>
      <c r="AN32" s="32">
        <f t="shared" si="45"/>
        <v>-1666.67</v>
      </c>
      <c r="AO32" s="33">
        <f t="shared" si="46"/>
        <v>0</v>
      </c>
      <c r="AP32" s="31"/>
      <c r="AQ32" s="32">
        <f>1666.67</f>
        <v>1666.67</v>
      </c>
      <c r="AR32" s="32">
        <f t="shared" si="47"/>
        <v>-1666.67</v>
      </c>
      <c r="AS32" s="33">
        <f t="shared" si="48"/>
        <v>0</v>
      </c>
      <c r="AT32" s="31"/>
      <c r="AU32" s="32">
        <f>1666.63</f>
        <v>1666.63</v>
      </c>
      <c r="AV32" s="32">
        <f t="shared" si="49"/>
        <v>-1666.63</v>
      </c>
      <c r="AW32" s="33">
        <f t="shared" si="50"/>
        <v>0</v>
      </c>
      <c r="AX32" s="32">
        <f t="shared" si="51"/>
        <v>90</v>
      </c>
      <c r="AY32" s="32">
        <f t="shared" si="51"/>
        <v>20000.000000000004</v>
      </c>
      <c r="AZ32" s="32">
        <f t="shared" si="52"/>
        <v>-19910.000000000004</v>
      </c>
      <c r="BA32" s="33">
        <f t="shared" si="53"/>
        <v>4.4999999999999988E-3</v>
      </c>
    </row>
    <row r="33" spans="1:53" x14ac:dyDescent="0.3">
      <c r="A33" s="30" t="s">
        <v>111</v>
      </c>
      <c r="B33" s="32">
        <f>306.29</f>
        <v>306.29000000000002</v>
      </c>
      <c r="C33" s="31"/>
      <c r="D33" s="32">
        <f t="shared" si="27"/>
        <v>306.29000000000002</v>
      </c>
      <c r="E33" s="33" t="str">
        <f t="shared" si="28"/>
        <v/>
      </c>
      <c r="F33" s="32">
        <f>325.49</f>
        <v>325.49</v>
      </c>
      <c r="G33" s="31"/>
      <c r="H33" s="32">
        <f t="shared" si="29"/>
        <v>325.49</v>
      </c>
      <c r="I33" s="33" t="str">
        <f t="shared" si="30"/>
        <v/>
      </c>
      <c r="J33" s="32">
        <f>280.03</f>
        <v>280.02999999999997</v>
      </c>
      <c r="K33" s="31"/>
      <c r="L33" s="32">
        <f t="shared" si="31"/>
        <v>280.02999999999997</v>
      </c>
      <c r="M33" s="33" t="str">
        <f t="shared" si="32"/>
        <v/>
      </c>
      <c r="N33" s="31"/>
      <c r="O33" s="31"/>
      <c r="P33" s="32">
        <f t="shared" si="33"/>
        <v>0</v>
      </c>
      <c r="Q33" s="33" t="str">
        <f t="shared" si="34"/>
        <v/>
      </c>
      <c r="R33" s="31"/>
      <c r="S33" s="31"/>
      <c r="T33" s="32">
        <f t="shared" si="35"/>
        <v>0</v>
      </c>
      <c r="U33" s="33" t="str">
        <f t="shared" si="36"/>
        <v/>
      </c>
      <c r="V33" s="31"/>
      <c r="W33" s="31"/>
      <c r="X33" s="32">
        <f t="shared" si="37"/>
        <v>0</v>
      </c>
      <c r="Y33" s="33" t="str">
        <f t="shared" si="38"/>
        <v/>
      </c>
      <c r="Z33" s="31"/>
      <c r="AA33" s="31"/>
      <c r="AB33" s="32">
        <f t="shared" si="39"/>
        <v>0</v>
      </c>
      <c r="AC33" s="33" t="str">
        <f t="shared" si="40"/>
        <v/>
      </c>
      <c r="AD33" s="31"/>
      <c r="AE33" s="31"/>
      <c r="AF33" s="32">
        <f t="shared" si="41"/>
        <v>0</v>
      </c>
      <c r="AG33" s="33" t="str">
        <f t="shared" si="42"/>
        <v/>
      </c>
      <c r="AH33" s="31"/>
      <c r="AI33" s="31"/>
      <c r="AJ33" s="32">
        <f t="shared" si="43"/>
        <v>0</v>
      </c>
      <c r="AK33" s="33" t="str">
        <f t="shared" si="44"/>
        <v/>
      </c>
      <c r="AL33" s="31"/>
      <c r="AM33" s="31"/>
      <c r="AN33" s="32">
        <f t="shared" si="45"/>
        <v>0</v>
      </c>
      <c r="AO33" s="33" t="str">
        <f t="shared" si="46"/>
        <v/>
      </c>
      <c r="AP33" s="31"/>
      <c r="AQ33" s="31"/>
      <c r="AR33" s="32">
        <f t="shared" si="47"/>
        <v>0</v>
      </c>
      <c r="AS33" s="33" t="str">
        <f t="shared" si="48"/>
        <v/>
      </c>
      <c r="AT33" s="31"/>
      <c r="AU33" s="31"/>
      <c r="AV33" s="32">
        <f t="shared" si="49"/>
        <v>0</v>
      </c>
      <c r="AW33" s="33" t="str">
        <f t="shared" si="50"/>
        <v/>
      </c>
      <c r="AX33" s="32">
        <f t="shared" si="51"/>
        <v>911.81</v>
      </c>
      <c r="AY33" s="32">
        <f t="shared" si="51"/>
        <v>0</v>
      </c>
      <c r="AZ33" s="32">
        <f t="shared" si="52"/>
        <v>911.81</v>
      </c>
      <c r="BA33" s="33" t="str">
        <f t="shared" si="53"/>
        <v/>
      </c>
    </row>
    <row r="34" spans="1:53" x14ac:dyDescent="0.3">
      <c r="A34" s="30" t="s">
        <v>112</v>
      </c>
      <c r="B34" s="31"/>
      <c r="C34" s="31"/>
      <c r="D34" s="32">
        <f t="shared" si="27"/>
        <v>0</v>
      </c>
      <c r="E34" s="33" t="str">
        <f t="shared" si="28"/>
        <v/>
      </c>
      <c r="F34" s="31"/>
      <c r="G34" s="31"/>
      <c r="H34" s="32">
        <f t="shared" si="29"/>
        <v>0</v>
      </c>
      <c r="I34" s="33" t="str">
        <f t="shared" si="30"/>
        <v/>
      </c>
      <c r="J34" s="31"/>
      <c r="K34" s="31"/>
      <c r="L34" s="32">
        <f t="shared" si="31"/>
        <v>0</v>
      </c>
      <c r="M34" s="33" t="str">
        <f t="shared" si="32"/>
        <v/>
      </c>
      <c r="N34" s="31"/>
      <c r="O34" s="31"/>
      <c r="P34" s="32">
        <f t="shared" si="33"/>
        <v>0</v>
      </c>
      <c r="Q34" s="33" t="str">
        <f t="shared" si="34"/>
        <v/>
      </c>
      <c r="R34" s="31"/>
      <c r="S34" s="31"/>
      <c r="T34" s="32">
        <f t="shared" si="35"/>
        <v>0</v>
      </c>
      <c r="U34" s="33" t="str">
        <f t="shared" si="36"/>
        <v/>
      </c>
      <c r="V34" s="31"/>
      <c r="W34" s="31"/>
      <c r="X34" s="32">
        <f t="shared" si="37"/>
        <v>0</v>
      </c>
      <c r="Y34" s="33" t="str">
        <f t="shared" si="38"/>
        <v/>
      </c>
      <c r="Z34" s="31"/>
      <c r="AA34" s="31"/>
      <c r="AB34" s="32">
        <f t="shared" si="39"/>
        <v>0</v>
      </c>
      <c r="AC34" s="33" t="str">
        <f t="shared" si="40"/>
        <v/>
      </c>
      <c r="AD34" s="31"/>
      <c r="AE34" s="31"/>
      <c r="AF34" s="32">
        <f t="shared" si="41"/>
        <v>0</v>
      </c>
      <c r="AG34" s="33" t="str">
        <f t="shared" si="42"/>
        <v/>
      </c>
      <c r="AH34" s="31"/>
      <c r="AI34" s="31"/>
      <c r="AJ34" s="32">
        <f t="shared" si="43"/>
        <v>0</v>
      </c>
      <c r="AK34" s="33" t="str">
        <f t="shared" si="44"/>
        <v/>
      </c>
      <c r="AL34" s="31"/>
      <c r="AM34" s="31"/>
      <c r="AN34" s="32">
        <f t="shared" si="45"/>
        <v>0</v>
      </c>
      <c r="AO34" s="33" t="str">
        <f t="shared" si="46"/>
        <v/>
      </c>
      <c r="AP34" s="31"/>
      <c r="AQ34" s="31"/>
      <c r="AR34" s="32">
        <f t="shared" si="47"/>
        <v>0</v>
      </c>
      <c r="AS34" s="33" t="str">
        <f t="shared" si="48"/>
        <v/>
      </c>
      <c r="AT34" s="31"/>
      <c r="AU34" s="31"/>
      <c r="AV34" s="32">
        <f t="shared" si="49"/>
        <v>0</v>
      </c>
      <c r="AW34" s="33" t="str">
        <f t="shared" si="50"/>
        <v/>
      </c>
      <c r="AX34" s="32">
        <f t="shared" si="51"/>
        <v>0</v>
      </c>
      <c r="AY34" s="32">
        <f t="shared" si="51"/>
        <v>0</v>
      </c>
      <c r="AZ34" s="32">
        <f t="shared" si="52"/>
        <v>0</v>
      </c>
      <c r="BA34" s="33" t="str">
        <f t="shared" si="53"/>
        <v/>
      </c>
    </row>
    <row r="35" spans="1:53" x14ac:dyDescent="0.3">
      <c r="A35" s="30" t="s">
        <v>113</v>
      </c>
      <c r="B35" s="31"/>
      <c r="C35" s="31"/>
      <c r="D35" s="32">
        <f t="shared" si="27"/>
        <v>0</v>
      </c>
      <c r="E35" s="33" t="str">
        <f t="shared" si="28"/>
        <v/>
      </c>
      <c r="F35" s="31"/>
      <c r="G35" s="31"/>
      <c r="H35" s="32">
        <f t="shared" si="29"/>
        <v>0</v>
      </c>
      <c r="I35" s="33" t="str">
        <f t="shared" si="30"/>
        <v/>
      </c>
      <c r="J35" s="31"/>
      <c r="K35" s="31"/>
      <c r="L35" s="32">
        <f t="shared" si="31"/>
        <v>0</v>
      </c>
      <c r="M35" s="33" t="str">
        <f t="shared" si="32"/>
        <v/>
      </c>
      <c r="N35" s="31"/>
      <c r="O35" s="31"/>
      <c r="P35" s="32">
        <f t="shared" si="33"/>
        <v>0</v>
      </c>
      <c r="Q35" s="33" t="str">
        <f t="shared" si="34"/>
        <v/>
      </c>
      <c r="R35" s="31"/>
      <c r="S35" s="31"/>
      <c r="T35" s="32">
        <f t="shared" si="35"/>
        <v>0</v>
      </c>
      <c r="U35" s="33" t="str">
        <f t="shared" si="36"/>
        <v/>
      </c>
      <c r="V35" s="31"/>
      <c r="W35" s="31"/>
      <c r="X35" s="32">
        <f t="shared" si="37"/>
        <v>0</v>
      </c>
      <c r="Y35" s="33" t="str">
        <f t="shared" si="38"/>
        <v/>
      </c>
      <c r="Z35" s="31"/>
      <c r="AA35" s="31"/>
      <c r="AB35" s="32">
        <f t="shared" si="39"/>
        <v>0</v>
      </c>
      <c r="AC35" s="33" t="str">
        <f t="shared" si="40"/>
        <v/>
      </c>
      <c r="AD35" s="31"/>
      <c r="AE35" s="31"/>
      <c r="AF35" s="32">
        <f t="shared" si="41"/>
        <v>0</v>
      </c>
      <c r="AG35" s="33" t="str">
        <f t="shared" si="42"/>
        <v/>
      </c>
      <c r="AH35" s="31"/>
      <c r="AI35" s="31"/>
      <c r="AJ35" s="32">
        <f t="shared" si="43"/>
        <v>0</v>
      </c>
      <c r="AK35" s="33" t="str">
        <f t="shared" si="44"/>
        <v/>
      </c>
      <c r="AL35" s="31"/>
      <c r="AM35" s="31"/>
      <c r="AN35" s="32">
        <f t="shared" si="45"/>
        <v>0</v>
      </c>
      <c r="AO35" s="33" t="str">
        <f t="shared" si="46"/>
        <v/>
      </c>
      <c r="AP35" s="31"/>
      <c r="AQ35" s="31"/>
      <c r="AR35" s="32">
        <f t="shared" si="47"/>
        <v>0</v>
      </c>
      <c r="AS35" s="33" t="str">
        <f t="shared" si="48"/>
        <v/>
      </c>
      <c r="AT35" s="31"/>
      <c r="AU35" s="31"/>
      <c r="AV35" s="32">
        <f t="shared" si="49"/>
        <v>0</v>
      </c>
      <c r="AW35" s="33" t="str">
        <f t="shared" si="50"/>
        <v/>
      </c>
      <c r="AX35" s="32">
        <f t="shared" si="51"/>
        <v>0</v>
      </c>
      <c r="AY35" s="32">
        <f t="shared" si="51"/>
        <v>0</v>
      </c>
      <c r="AZ35" s="32">
        <f t="shared" si="52"/>
        <v>0</v>
      </c>
      <c r="BA35" s="33" t="str">
        <f t="shared" si="53"/>
        <v/>
      </c>
    </row>
    <row r="36" spans="1:53" x14ac:dyDescent="0.3">
      <c r="A36" s="30" t="s">
        <v>114</v>
      </c>
      <c r="B36" s="32">
        <f>400.91</f>
        <v>400.91</v>
      </c>
      <c r="C36" s="32">
        <f>416.67</f>
        <v>416.67</v>
      </c>
      <c r="D36" s="32">
        <f t="shared" si="27"/>
        <v>-15.759999999999991</v>
      </c>
      <c r="E36" s="33">
        <f t="shared" si="28"/>
        <v>0.96217630258957931</v>
      </c>
      <c r="F36" s="32">
        <f>341.92</f>
        <v>341.92</v>
      </c>
      <c r="G36" s="32">
        <f>416.67</f>
        <v>416.67</v>
      </c>
      <c r="H36" s="32">
        <f t="shared" si="29"/>
        <v>-74.75</v>
      </c>
      <c r="I36" s="33">
        <f t="shared" si="30"/>
        <v>0.82060143518851847</v>
      </c>
      <c r="J36" s="32">
        <f>409.9</f>
        <v>409.9</v>
      </c>
      <c r="K36" s="32">
        <f>416.67</f>
        <v>416.67</v>
      </c>
      <c r="L36" s="32">
        <f t="shared" si="31"/>
        <v>-6.7700000000000387</v>
      </c>
      <c r="M36" s="33">
        <f t="shared" si="32"/>
        <v>0.98375212998296002</v>
      </c>
      <c r="N36" s="31"/>
      <c r="O36" s="32">
        <f>416.67</f>
        <v>416.67</v>
      </c>
      <c r="P36" s="32">
        <f t="shared" si="33"/>
        <v>-416.67</v>
      </c>
      <c r="Q36" s="33">
        <f t="shared" si="34"/>
        <v>0</v>
      </c>
      <c r="R36" s="31"/>
      <c r="S36" s="32">
        <f>416.67</f>
        <v>416.67</v>
      </c>
      <c r="T36" s="32">
        <f t="shared" si="35"/>
        <v>-416.67</v>
      </c>
      <c r="U36" s="33">
        <f t="shared" si="36"/>
        <v>0</v>
      </c>
      <c r="V36" s="31"/>
      <c r="W36" s="32">
        <f>416.67</f>
        <v>416.67</v>
      </c>
      <c r="X36" s="32">
        <f t="shared" si="37"/>
        <v>-416.67</v>
      </c>
      <c r="Y36" s="33">
        <f t="shared" si="38"/>
        <v>0</v>
      </c>
      <c r="Z36" s="31"/>
      <c r="AA36" s="32">
        <f>416.67</f>
        <v>416.67</v>
      </c>
      <c r="AB36" s="32">
        <f t="shared" si="39"/>
        <v>-416.67</v>
      </c>
      <c r="AC36" s="33">
        <f t="shared" si="40"/>
        <v>0</v>
      </c>
      <c r="AD36" s="31"/>
      <c r="AE36" s="32">
        <f>416.67</f>
        <v>416.67</v>
      </c>
      <c r="AF36" s="32">
        <f t="shared" si="41"/>
        <v>-416.67</v>
      </c>
      <c r="AG36" s="33">
        <f t="shared" si="42"/>
        <v>0</v>
      </c>
      <c r="AH36" s="31"/>
      <c r="AI36" s="32">
        <f>416.67</f>
        <v>416.67</v>
      </c>
      <c r="AJ36" s="32">
        <f t="shared" si="43"/>
        <v>-416.67</v>
      </c>
      <c r="AK36" s="33">
        <f t="shared" si="44"/>
        <v>0</v>
      </c>
      <c r="AL36" s="31"/>
      <c r="AM36" s="32">
        <f>416.67</f>
        <v>416.67</v>
      </c>
      <c r="AN36" s="32">
        <f t="shared" si="45"/>
        <v>-416.67</v>
      </c>
      <c r="AO36" s="33">
        <f t="shared" si="46"/>
        <v>0</v>
      </c>
      <c r="AP36" s="31"/>
      <c r="AQ36" s="32">
        <f>416.67</f>
        <v>416.67</v>
      </c>
      <c r="AR36" s="32">
        <f t="shared" si="47"/>
        <v>-416.67</v>
      </c>
      <c r="AS36" s="33">
        <f t="shared" si="48"/>
        <v>0</v>
      </c>
      <c r="AT36" s="31"/>
      <c r="AU36" s="32">
        <f>416.63</f>
        <v>416.63</v>
      </c>
      <c r="AV36" s="32">
        <f t="shared" si="49"/>
        <v>-416.63</v>
      </c>
      <c r="AW36" s="33">
        <f t="shared" si="50"/>
        <v>0</v>
      </c>
      <c r="AX36" s="32">
        <f t="shared" si="51"/>
        <v>1152.73</v>
      </c>
      <c r="AY36" s="32">
        <f t="shared" si="51"/>
        <v>5000</v>
      </c>
      <c r="AZ36" s="32">
        <f t="shared" si="52"/>
        <v>-3847.27</v>
      </c>
      <c r="BA36" s="33">
        <f t="shared" si="53"/>
        <v>0.230546</v>
      </c>
    </row>
    <row r="37" spans="1:53" x14ac:dyDescent="0.3">
      <c r="A37" s="30" t="s">
        <v>115</v>
      </c>
      <c r="B37" s="32">
        <f>199.97</f>
        <v>199.97</v>
      </c>
      <c r="C37" s="32">
        <f>125</f>
        <v>125</v>
      </c>
      <c r="D37" s="32">
        <f t="shared" si="27"/>
        <v>74.97</v>
      </c>
      <c r="E37" s="33">
        <f t="shared" si="28"/>
        <v>1.5997600000000001</v>
      </c>
      <c r="F37" s="31"/>
      <c r="G37" s="32">
        <f>125</f>
        <v>125</v>
      </c>
      <c r="H37" s="32">
        <f t="shared" si="29"/>
        <v>-125</v>
      </c>
      <c r="I37" s="33">
        <f t="shared" si="30"/>
        <v>0</v>
      </c>
      <c r="J37" s="32">
        <f>294.83</f>
        <v>294.83</v>
      </c>
      <c r="K37" s="32">
        <f>125</f>
        <v>125</v>
      </c>
      <c r="L37" s="32">
        <f t="shared" si="31"/>
        <v>169.82999999999998</v>
      </c>
      <c r="M37" s="33">
        <f t="shared" si="32"/>
        <v>2.3586399999999998</v>
      </c>
      <c r="N37" s="31"/>
      <c r="O37" s="32">
        <f>125</f>
        <v>125</v>
      </c>
      <c r="P37" s="32">
        <f t="shared" si="33"/>
        <v>-125</v>
      </c>
      <c r="Q37" s="33">
        <f t="shared" si="34"/>
        <v>0</v>
      </c>
      <c r="R37" s="31"/>
      <c r="S37" s="32">
        <f>125</f>
        <v>125</v>
      </c>
      <c r="T37" s="32">
        <f t="shared" si="35"/>
        <v>-125</v>
      </c>
      <c r="U37" s="33">
        <f t="shared" si="36"/>
        <v>0</v>
      </c>
      <c r="V37" s="31"/>
      <c r="W37" s="32">
        <f>125</f>
        <v>125</v>
      </c>
      <c r="X37" s="32">
        <f t="shared" si="37"/>
        <v>-125</v>
      </c>
      <c r="Y37" s="33">
        <f t="shared" si="38"/>
        <v>0</v>
      </c>
      <c r="Z37" s="31"/>
      <c r="AA37" s="32">
        <f>125</f>
        <v>125</v>
      </c>
      <c r="AB37" s="32">
        <f t="shared" si="39"/>
        <v>-125</v>
      </c>
      <c r="AC37" s="33">
        <f t="shared" si="40"/>
        <v>0</v>
      </c>
      <c r="AD37" s="31"/>
      <c r="AE37" s="32">
        <f>125</f>
        <v>125</v>
      </c>
      <c r="AF37" s="32">
        <f t="shared" si="41"/>
        <v>-125</v>
      </c>
      <c r="AG37" s="33">
        <f t="shared" si="42"/>
        <v>0</v>
      </c>
      <c r="AH37" s="31"/>
      <c r="AI37" s="32">
        <f>125</f>
        <v>125</v>
      </c>
      <c r="AJ37" s="32">
        <f t="shared" si="43"/>
        <v>-125</v>
      </c>
      <c r="AK37" s="33">
        <f t="shared" si="44"/>
        <v>0</v>
      </c>
      <c r="AL37" s="31"/>
      <c r="AM37" s="32">
        <f>125</f>
        <v>125</v>
      </c>
      <c r="AN37" s="32">
        <f t="shared" si="45"/>
        <v>-125</v>
      </c>
      <c r="AO37" s="33">
        <f t="shared" si="46"/>
        <v>0</v>
      </c>
      <c r="AP37" s="31"/>
      <c r="AQ37" s="32">
        <f>125</f>
        <v>125</v>
      </c>
      <c r="AR37" s="32">
        <f t="shared" si="47"/>
        <v>-125</v>
      </c>
      <c r="AS37" s="33">
        <f t="shared" si="48"/>
        <v>0</v>
      </c>
      <c r="AT37" s="31"/>
      <c r="AU37" s="32">
        <f>125</f>
        <v>125</v>
      </c>
      <c r="AV37" s="32">
        <f t="shared" si="49"/>
        <v>-125</v>
      </c>
      <c r="AW37" s="33">
        <f t="shared" si="50"/>
        <v>0</v>
      </c>
      <c r="AX37" s="32">
        <f t="shared" si="51"/>
        <v>494.79999999999995</v>
      </c>
      <c r="AY37" s="32">
        <f t="shared" si="51"/>
        <v>1500</v>
      </c>
      <c r="AZ37" s="32">
        <f t="shared" si="52"/>
        <v>-1005.2</v>
      </c>
      <c r="BA37" s="33">
        <f t="shared" si="53"/>
        <v>0.32986666666666664</v>
      </c>
    </row>
    <row r="38" spans="1:53" x14ac:dyDescent="0.3">
      <c r="A38" s="30" t="s">
        <v>116</v>
      </c>
      <c r="B38" s="32">
        <f>316.08</f>
        <v>316.08</v>
      </c>
      <c r="C38" s="32">
        <f>333.33</f>
        <v>333.33</v>
      </c>
      <c r="D38" s="32">
        <f t="shared" si="27"/>
        <v>-17.25</v>
      </c>
      <c r="E38" s="33">
        <f t="shared" si="28"/>
        <v>0.94824948249482499</v>
      </c>
      <c r="F38" s="32">
        <f>371.86</f>
        <v>371.86</v>
      </c>
      <c r="G38" s="32">
        <f>333.33</f>
        <v>333.33</v>
      </c>
      <c r="H38" s="32">
        <f t="shared" si="29"/>
        <v>38.53000000000003</v>
      </c>
      <c r="I38" s="33">
        <f t="shared" si="30"/>
        <v>1.1155911559115592</v>
      </c>
      <c r="J38" s="32">
        <f>276.66</f>
        <v>276.66000000000003</v>
      </c>
      <c r="K38" s="32">
        <f>333.33</f>
        <v>333.33</v>
      </c>
      <c r="L38" s="32">
        <f t="shared" si="31"/>
        <v>-56.669999999999959</v>
      </c>
      <c r="M38" s="33">
        <f t="shared" si="32"/>
        <v>0.82998829988299894</v>
      </c>
      <c r="N38" s="31"/>
      <c r="O38" s="32">
        <f>333.33</f>
        <v>333.33</v>
      </c>
      <c r="P38" s="32">
        <f t="shared" si="33"/>
        <v>-333.33</v>
      </c>
      <c r="Q38" s="33">
        <f t="shared" si="34"/>
        <v>0</v>
      </c>
      <c r="R38" s="31"/>
      <c r="S38" s="32">
        <f>333.33</f>
        <v>333.33</v>
      </c>
      <c r="T38" s="32">
        <f t="shared" si="35"/>
        <v>-333.33</v>
      </c>
      <c r="U38" s="33">
        <f t="shared" si="36"/>
        <v>0</v>
      </c>
      <c r="V38" s="31"/>
      <c r="W38" s="32">
        <f>333.33</f>
        <v>333.33</v>
      </c>
      <c r="X38" s="32">
        <f t="shared" si="37"/>
        <v>-333.33</v>
      </c>
      <c r="Y38" s="33">
        <f t="shared" si="38"/>
        <v>0</v>
      </c>
      <c r="Z38" s="31"/>
      <c r="AA38" s="32">
        <f>333.33</f>
        <v>333.33</v>
      </c>
      <c r="AB38" s="32">
        <f t="shared" si="39"/>
        <v>-333.33</v>
      </c>
      <c r="AC38" s="33">
        <f t="shared" si="40"/>
        <v>0</v>
      </c>
      <c r="AD38" s="31"/>
      <c r="AE38" s="32">
        <f>333.33</f>
        <v>333.33</v>
      </c>
      <c r="AF38" s="32">
        <f t="shared" si="41"/>
        <v>-333.33</v>
      </c>
      <c r="AG38" s="33">
        <f t="shared" si="42"/>
        <v>0</v>
      </c>
      <c r="AH38" s="31"/>
      <c r="AI38" s="32">
        <f>333.33</f>
        <v>333.33</v>
      </c>
      <c r="AJ38" s="32">
        <f t="shared" si="43"/>
        <v>-333.33</v>
      </c>
      <c r="AK38" s="33">
        <f t="shared" si="44"/>
        <v>0</v>
      </c>
      <c r="AL38" s="31"/>
      <c r="AM38" s="32">
        <f>333.33</f>
        <v>333.33</v>
      </c>
      <c r="AN38" s="32">
        <f t="shared" si="45"/>
        <v>-333.33</v>
      </c>
      <c r="AO38" s="33">
        <f t="shared" si="46"/>
        <v>0</v>
      </c>
      <c r="AP38" s="31"/>
      <c r="AQ38" s="32">
        <f>333.33</f>
        <v>333.33</v>
      </c>
      <c r="AR38" s="32">
        <f t="shared" si="47"/>
        <v>-333.33</v>
      </c>
      <c r="AS38" s="33">
        <f t="shared" si="48"/>
        <v>0</v>
      </c>
      <c r="AT38" s="31"/>
      <c r="AU38" s="32">
        <f>333.37</f>
        <v>333.37</v>
      </c>
      <c r="AV38" s="32">
        <f t="shared" si="49"/>
        <v>-333.37</v>
      </c>
      <c r="AW38" s="33">
        <f t="shared" si="50"/>
        <v>0</v>
      </c>
      <c r="AX38" s="32">
        <f t="shared" si="51"/>
        <v>964.60000000000014</v>
      </c>
      <c r="AY38" s="32">
        <f t="shared" si="51"/>
        <v>3999.9999999999995</v>
      </c>
      <c r="AZ38" s="32">
        <f t="shared" si="52"/>
        <v>-3035.3999999999996</v>
      </c>
      <c r="BA38" s="33">
        <f t="shared" si="53"/>
        <v>0.24115000000000006</v>
      </c>
    </row>
    <row r="39" spans="1:53" x14ac:dyDescent="0.3">
      <c r="A39" s="30" t="s">
        <v>117</v>
      </c>
      <c r="B39" s="32">
        <f>32.23</f>
        <v>32.229999999999997</v>
      </c>
      <c r="C39" s="32">
        <f>125</f>
        <v>125</v>
      </c>
      <c r="D39" s="32">
        <f t="shared" si="27"/>
        <v>-92.77000000000001</v>
      </c>
      <c r="E39" s="33">
        <f t="shared" si="28"/>
        <v>0.25783999999999996</v>
      </c>
      <c r="F39" s="32">
        <f>128.95</f>
        <v>128.94999999999999</v>
      </c>
      <c r="G39" s="32">
        <f>125</f>
        <v>125</v>
      </c>
      <c r="H39" s="32">
        <f t="shared" si="29"/>
        <v>3.9499999999999886</v>
      </c>
      <c r="I39" s="33">
        <f t="shared" si="30"/>
        <v>1.0315999999999999</v>
      </c>
      <c r="J39" s="31"/>
      <c r="K39" s="32">
        <f>125</f>
        <v>125</v>
      </c>
      <c r="L39" s="32">
        <f t="shared" si="31"/>
        <v>-125</v>
      </c>
      <c r="M39" s="33">
        <f t="shared" si="32"/>
        <v>0</v>
      </c>
      <c r="N39" s="31"/>
      <c r="O39" s="32">
        <f>125</f>
        <v>125</v>
      </c>
      <c r="P39" s="32">
        <f t="shared" si="33"/>
        <v>-125</v>
      </c>
      <c r="Q39" s="33">
        <f t="shared" si="34"/>
        <v>0</v>
      </c>
      <c r="R39" s="31"/>
      <c r="S39" s="32">
        <f>125</f>
        <v>125</v>
      </c>
      <c r="T39" s="32">
        <f t="shared" si="35"/>
        <v>-125</v>
      </c>
      <c r="U39" s="33">
        <f t="shared" si="36"/>
        <v>0</v>
      </c>
      <c r="V39" s="31"/>
      <c r="W39" s="32">
        <f>125</f>
        <v>125</v>
      </c>
      <c r="X39" s="32">
        <f t="shared" si="37"/>
        <v>-125</v>
      </c>
      <c r="Y39" s="33">
        <f t="shared" si="38"/>
        <v>0</v>
      </c>
      <c r="Z39" s="31"/>
      <c r="AA39" s="32">
        <f>125</f>
        <v>125</v>
      </c>
      <c r="AB39" s="32">
        <f t="shared" si="39"/>
        <v>-125</v>
      </c>
      <c r="AC39" s="33">
        <f t="shared" si="40"/>
        <v>0</v>
      </c>
      <c r="AD39" s="31"/>
      <c r="AE39" s="32">
        <f>125</f>
        <v>125</v>
      </c>
      <c r="AF39" s="32">
        <f t="shared" si="41"/>
        <v>-125</v>
      </c>
      <c r="AG39" s="33">
        <f t="shared" si="42"/>
        <v>0</v>
      </c>
      <c r="AH39" s="31"/>
      <c r="AI39" s="32">
        <f>125</f>
        <v>125</v>
      </c>
      <c r="AJ39" s="32">
        <f t="shared" si="43"/>
        <v>-125</v>
      </c>
      <c r="AK39" s="33">
        <f t="shared" si="44"/>
        <v>0</v>
      </c>
      <c r="AL39" s="31"/>
      <c r="AM39" s="32">
        <f>125</f>
        <v>125</v>
      </c>
      <c r="AN39" s="32">
        <f t="shared" si="45"/>
        <v>-125</v>
      </c>
      <c r="AO39" s="33">
        <f t="shared" si="46"/>
        <v>0</v>
      </c>
      <c r="AP39" s="31"/>
      <c r="AQ39" s="32">
        <f>125</f>
        <v>125</v>
      </c>
      <c r="AR39" s="32">
        <f t="shared" si="47"/>
        <v>-125</v>
      </c>
      <c r="AS39" s="33">
        <f t="shared" si="48"/>
        <v>0</v>
      </c>
      <c r="AT39" s="31"/>
      <c r="AU39" s="32">
        <f>125</f>
        <v>125</v>
      </c>
      <c r="AV39" s="32">
        <f t="shared" si="49"/>
        <v>-125</v>
      </c>
      <c r="AW39" s="33">
        <f t="shared" si="50"/>
        <v>0</v>
      </c>
      <c r="AX39" s="32">
        <f t="shared" si="51"/>
        <v>161.17999999999998</v>
      </c>
      <c r="AY39" s="32">
        <f t="shared" si="51"/>
        <v>1500</v>
      </c>
      <c r="AZ39" s="32">
        <f t="shared" si="52"/>
        <v>-1338.82</v>
      </c>
      <c r="BA39" s="33">
        <f t="shared" si="53"/>
        <v>0.10745333333333332</v>
      </c>
    </row>
    <row r="40" spans="1:53" x14ac:dyDescent="0.3">
      <c r="A40" s="30" t="s">
        <v>118</v>
      </c>
      <c r="B40" s="34">
        <f>((((B35)+(B36))+(B37))+(B38))+(B39)</f>
        <v>949.19</v>
      </c>
      <c r="C40" s="34">
        <f>((((C35)+(C36))+(C37))+(C38))+(C39)</f>
        <v>1000</v>
      </c>
      <c r="D40" s="34">
        <f t="shared" si="27"/>
        <v>-50.809999999999945</v>
      </c>
      <c r="E40" s="35">
        <f t="shared" si="28"/>
        <v>0.94919000000000009</v>
      </c>
      <c r="F40" s="34">
        <f>((((F35)+(F36))+(F37))+(F38))+(F39)</f>
        <v>842.73</v>
      </c>
      <c r="G40" s="34">
        <f>((((G35)+(G36))+(G37))+(G38))+(G39)</f>
        <v>1000</v>
      </c>
      <c r="H40" s="34">
        <f t="shared" si="29"/>
        <v>-157.26999999999998</v>
      </c>
      <c r="I40" s="35">
        <f t="shared" si="30"/>
        <v>0.84272999999999998</v>
      </c>
      <c r="J40" s="34">
        <f>((((J35)+(J36))+(J37))+(J38))+(J39)</f>
        <v>981.3900000000001</v>
      </c>
      <c r="K40" s="34">
        <f>((((K35)+(K36))+(K37))+(K38))+(K39)</f>
        <v>1000</v>
      </c>
      <c r="L40" s="34">
        <f t="shared" si="31"/>
        <v>-18.6099999999999</v>
      </c>
      <c r="M40" s="35">
        <f t="shared" si="32"/>
        <v>0.9813900000000001</v>
      </c>
      <c r="N40" s="34">
        <f>((((N35)+(N36))+(N37))+(N38))+(N39)</f>
        <v>0</v>
      </c>
      <c r="O40" s="34">
        <f>((((O35)+(O36))+(O37))+(O38))+(O39)</f>
        <v>1000</v>
      </c>
      <c r="P40" s="34">
        <f t="shared" si="33"/>
        <v>-1000</v>
      </c>
      <c r="Q40" s="35">
        <f t="shared" si="34"/>
        <v>0</v>
      </c>
      <c r="R40" s="34">
        <f>((((R35)+(R36))+(R37))+(R38))+(R39)</f>
        <v>0</v>
      </c>
      <c r="S40" s="34">
        <f>((((S35)+(S36))+(S37))+(S38))+(S39)</f>
        <v>1000</v>
      </c>
      <c r="T40" s="34">
        <f t="shared" si="35"/>
        <v>-1000</v>
      </c>
      <c r="U40" s="35">
        <f t="shared" si="36"/>
        <v>0</v>
      </c>
      <c r="V40" s="34">
        <f>((((V35)+(V36))+(V37))+(V38))+(V39)</f>
        <v>0</v>
      </c>
      <c r="W40" s="34">
        <f>((((W35)+(W36))+(W37))+(W38))+(W39)</f>
        <v>1000</v>
      </c>
      <c r="X40" s="34">
        <f t="shared" si="37"/>
        <v>-1000</v>
      </c>
      <c r="Y40" s="35">
        <f t="shared" si="38"/>
        <v>0</v>
      </c>
      <c r="Z40" s="34">
        <f>((((Z35)+(Z36))+(Z37))+(Z38))+(Z39)</f>
        <v>0</v>
      </c>
      <c r="AA40" s="34">
        <f>((((AA35)+(AA36))+(AA37))+(AA38))+(AA39)</f>
        <v>1000</v>
      </c>
      <c r="AB40" s="34">
        <f t="shared" si="39"/>
        <v>-1000</v>
      </c>
      <c r="AC40" s="35">
        <f t="shared" si="40"/>
        <v>0</v>
      </c>
      <c r="AD40" s="34">
        <f>((((AD35)+(AD36))+(AD37))+(AD38))+(AD39)</f>
        <v>0</v>
      </c>
      <c r="AE40" s="34">
        <f>((((AE35)+(AE36))+(AE37))+(AE38))+(AE39)</f>
        <v>1000</v>
      </c>
      <c r="AF40" s="34">
        <f t="shared" si="41"/>
        <v>-1000</v>
      </c>
      <c r="AG40" s="35">
        <f t="shared" si="42"/>
        <v>0</v>
      </c>
      <c r="AH40" s="34">
        <f>((((AH35)+(AH36))+(AH37))+(AH38))+(AH39)</f>
        <v>0</v>
      </c>
      <c r="AI40" s="34">
        <f>((((AI35)+(AI36))+(AI37))+(AI38))+(AI39)</f>
        <v>1000</v>
      </c>
      <c r="AJ40" s="34">
        <f t="shared" si="43"/>
        <v>-1000</v>
      </c>
      <c r="AK40" s="35">
        <f t="shared" si="44"/>
        <v>0</v>
      </c>
      <c r="AL40" s="34">
        <f>((((AL35)+(AL36))+(AL37))+(AL38))+(AL39)</f>
        <v>0</v>
      </c>
      <c r="AM40" s="34">
        <f>((((AM35)+(AM36))+(AM37))+(AM38))+(AM39)</f>
        <v>1000</v>
      </c>
      <c r="AN40" s="34">
        <f t="shared" si="45"/>
        <v>-1000</v>
      </c>
      <c r="AO40" s="35">
        <f t="shared" si="46"/>
        <v>0</v>
      </c>
      <c r="AP40" s="34">
        <f>((((AP35)+(AP36))+(AP37))+(AP38))+(AP39)</f>
        <v>0</v>
      </c>
      <c r="AQ40" s="34">
        <f>((((AQ35)+(AQ36))+(AQ37))+(AQ38))+(AQ39)</f>
        <v>1000</v>
      </c>
      <c r="AR40" s="34">
        <f t="shared" si="47"/>
        <v>-1000</v>
      </c>
      <c r="AS40" s="35">
        <f t="shared" si="48"/>
        <v>0</v>
      </c>
      <c r="AT40" s="34">
        <f>((((AT35)+(AT36))+(AT37))+(AT38))+(AT39)</f>
        <v>0</v>
      </c>
      <c r="AU40" s="34">
        <f>((((AU35)+(AU36))+(AU37))+(AU38))+(AU39)</f>
        <v>1000</v>
      </c>
      <c r="AV40" s="34">
        <f t="shared" si="49"/>
        <v>-1000</v>
      </c>
      <c r="AW40" s="35">
        <f t="shared" si="50"/>
        <v>0</v>
      </c>
      <c r="AX40" s="34">
        <f t="shared" si="51"/>
        <v>2773.3100000000004</v>
      </c>
      <c r="AY40" s="34">
        <f t="shared" si="51"/>
        <v>12000</v>
      </c>
      <c r="AZ40" s="34">
        <f t="shared" si="52"/>
        <v>-9226.6899999999987</v>
      </c>
      <c r="BA40" s="35">
        <f t="shared" si="53"/>
        <v>0.2311091666666667</v>
      </c>
    </row>
    <row r="41" spans="1:53" x14ac:dyDescent="0.3">
      <c r="A41" s="30" t="s">
        <v>119</v>
      </c>
      <c r="B41" s="31"/>
      <c r="C41" s="31"/>
      <c r="D41" s="32">
        <f t="shared" si="27"/>
        <v>0</v>
      </c>
      <c r="E41" s="33" t="str">
        <f t="shared" si="28"/>
        <v/>
      </c>
      <c r="F41" s="31"/>
      <c r="G41" s="31"/>
      <c r="H41" s="32">
        <f t="shared" si="29"/>
        <v>0</v>
      </c>
      <c r="I41" s="33" t="str">
        <f t="shared" si="30"/>
        <v/>
      </c>
      <c r="J41" s="31"/>
      <c r="K41" s="31"/>
      <c r="L41" s="32">
        <f t="shared" si="31"/>
        <v>0</v>
      </c>
      <c r="M41" s="33" t="str">
        <f t="shared" si="32"/>
        <v/>
      </c>
      <c r="N41" s="31"/>
      <c r="O41" s="31"/>
      <c r="P41" s="32">
        <f t="shared" si="33"/>
        <v>0</v>
      </c>
      <c r="Q41" s="33" t="str">
        <f t="shared" si="34"/>
        <v/>
      </c>
      <c r="R41" s="31"/>
      <c r="S41" s="31"/>
      <c r="T41" s="32">
        <f t="shared" si="35"/>
        <v>0</v>
      </c>
      <c r="U41" s="33" t="str">
        <f t="shared" si="36"/>
        <v/>
      </c>
      <c r="V41" s="31"/>
      <c r="W41" s="31"/>
      <c r="X41" s="32">
        <f t="shared" si="37"/>
        <v>0</v>
      </c>
      <c r="Y41" s="33" t="str">
        <f t="shared" si="38"/>
        <v/>
      </c>
      <c r="Z41" s="31"/>
      <c r="AA41" s="31"/>
      <c r="AB41" s="32">
        <f t="shared" si="39"/>
        <v>0</v>
      </c>
      <c r="AC41" s="33" t="str">
        <f t="shared" si="40"/>
        <v/>
      </c>
      <c r="AD41" s="31"/>
      <c r="AE41" s="31"/>
      <c r="AF41" s="32">
        <f t="shared" si="41"/>
        <v>0</v>
      </c>
      <c r="AG41" s="33" t="str">
        <f t="shared" si="42"/>
        <v/>
      </c>
      <c r="AH41" s="31"/>
      <c r="AI41" s="31"/>
      <c r="AJ41" s="32">
        <f t="shared" si="43"/>
        <v>0</v>
      </c>
      <c r="AK41" s="33" t="str">
        <f t="shared" si="44"/>
        <v/>
      </c>
      <c r="AL41" s="31"/>
      <c r="AM41" s="31"/>
      <c r="AN41" s="32">
        <f t="shared" si="45"/>
        <v>0</v>
      </c>
      <c r="AO41" s="33" t="str">
        <f t="shared" si="46"/>
        <v/>
      </c>
      <c r="AP41" s="31"/>
      <c r="AQ41" s="31"/>
      <c r="AR41" s="32">
        <f t="shared" si="47"/>
        <v>0</v>
      </c>
      <c r="AS41" s="33" t="str">
        <f t="shared" si="48"/>
        <v/>
      </c>
      <c r="AT41" s="31"/>
      <c r="AU41" s="31"/>
      <c r="AV41" s="32">
        <f t="shared" si="49"/>
        <v>0</v>
      </c>
      <c r="AW41" s="33" t="str">
        <f t="shared" si="50"/>
        <v/>
      </c>
      <c r="AX41" s="32">
        <f t="shared" si="51"/>
        <v>0</v>
      </c>
      <c r="AY41" s="32">
        <f t="shared" si="51"/>
        <v>0</v>
      </c>
      <c r="AZ41" s="32">
        <f t="shared" si="52"/>
        <v>0</v>
      </c>
      <c r="BA41" s="33" t="str">
        <f t="shared" si="53"/>
        <v/>
      </c>
    </row>
    <row r="42" spans="1:53" x14ac:dyDescent="0.3">
      <c r="A42" s="30" t="s">
        <v>120</v>
      </c>
      <c r="B42" s="32">
        <f>3000</f>
        <v>3000</v>
      </c>
      <c r="C42" s="32">
        <f>833.33</f>
        <v>833.33</v>
      </c>
      <c r="D42" s="32">
        <f t="shared" si="27"/>
        <v>2166.67</v>
      </c>
      <c r="E42" s="33">
        <f t="shared" si="28"/>
        <v>3.6000144000576002</v>
      </c>
      <c r="F42" s="31"/>
      <c r="G42" s="32">
        <f>833.33</f>
        <v>833.33</v>
      </c>
      <c r="H42" s="32">
        <f t="shared" si="29"/>
        <v>-833.33</v>
      </c>
      <c r="I42" s="33">
        <f t="shared" si="30"/>
        <v>0</v>
      </c>
      <c r="J42" s="31"/>
      <c r="K42" s="32">
        <f>833.33</f>
        <v>833.33</v>
      </c>
      <c r="L42" s="32">
        <f t="shared" si="31"/>
        <v>-833.33</v>
      </c>
      <c r="M42" s="33">
        <f t="shared" si="32"/>
        <v>0</v>
      </c>
      <c r="N42" s="31"/>
      <c r="O42" s="32">
        <f>833.33</f>
        <v>833.33</v>
      </c>
      <c r="P42" s="32">
        <f t="shared" si="33"/>
        <v>-833.33</v>
      </c>
      <c r="Q42" s="33">
        <f t="shared" si="34"/>
        <v>0</v>
      </c>
      <c r="R42" s="31"/>
      <c r="S42" s="32">
        <f>833.33</f>
        <v>833.33</v>
      </c>
      <c r="T42" s="32">
        <f t="shared" si="35"/>
        <v>-833.33</v>
      </c>
      <c r="U42" s="33">
        <f t="shared" si="36"/>
        <v>0</v>
      </c>
      <c r="V42" s="31"/>
      <c r="W42" s="32">
        <f>833.33</f>
        <v>833.33</v>
      </c>
      <c r="X42" s="32">
        <f t="shared" si="37"/>
        <v>-833.33</v>
      </c>
      <c r="Y42" s="33">
        <f t="shared" si="38"/>
        <v>0</v>
      </c>
      <c r="Z42" s="31"/>
      <c r="AA42" s="32">
        <f>833.33</f>
        <v>833.33</v>
      </c>
      <c r="AB42" s="32">
        <f t="shared" si="39"/>
        <v>-833.33</v>
      </c>
      <c r="AC42" s="33">
        <f t="shared" si="40"/>
        <v>0</v>
      </c>
      <c r="AD42" s="31"/>
      <c r="AE42" s="32">
        <f>833.33</f>
        <v>833.33</v>
      </c>
      <c r="AF42" s="32">
        <f t="shared" si="41"/>
        <v>-833.33</v>
      </c>
      <c r="AG42" s="33">
        <f t="shared" si="42"/>
        <v>0</v>
      </c>
      <c r="AH42" s="31"/>
      <c r="AI42" s="32">
        <f>833.33</f>
        <v>833.33</v>
      </c>
      <c r="AJ42" s="32">
        <f t="shared" si="43"/>
        <v>-833.33</v>
      </c>
      <c r="AK42" s="33">
        <f t="shared" si="44"/>
        <v>0</v>
      </c>
      <c r="AL42" s="31"/>
      <c r="AM42" s="32">
        <f>833.33</f>
        <v>833.33</v>
      </c>
      <c r="AN42" s="32">
        <f t="shared" si="45"/>
        <v>-833.33</v>
      </c>
      <c r="AO42" s="33">
        <f t="shared" si="46"/>
        <v>0</v>
      </c>
      <c r="AP42" s="31"/>
      <c r="AQ42" s="32">
        <f>833.33</f>
        <v>833.33</v>
      </c>
      <c r="AR42" s="32">
        <f t="shared" si="47"/>
        <v>-833.33</v>
      </c>
      <c r="AS42" s="33">
        <f t="shared" si="48"/>
        <v>0</v>
      </c>
      <c r="AT42" s="31"/>
      <c r="AU42" s="32">
        <f>833.37</f>
        <v>833.37</v>
      </c>
      <c r="AV42" s="32">
        <f t="shared" si="49"/>
        <v>-833.37</v>
      </c>
      <c r="AW42" s="33">
        <f t="shared" si="50"/>
        <v>0</v>
      </c>
      <c r="AX42" s="32">
        <f t="shared" si="51"/>
        <v>3000</v>
      </c>
      <c r="AY42" s="32">
        <f t="shared" si="51"/>
        <v>10000.000000000002</v>
      </c>
      <c r="AZ42" s="32">
        <f t="shared" si="52"/>
        <v>-7000.0000000000018</v>
      </c>
      <c r="BA42" s="33">
        <f t="shared" si="53"/>
        <v>0.29999999999999993</v>
      </c>
    </row>
    <row r="43" spans="1:53" x14ac:dyDescent="0.3">
      <c r="A43" s="30" t="s">
        <v>121</v>
      </c>
      <c r="B43" s="34">
        <f>(B41)+(B42)</f>
        <v>3000</v>
      </c>
      <c r="C43" s="34">
        <f>(C41)+(C42)</f>
        <v>833.33</v>
      </c>
      <c r="D43" s="34">
        <f t="shared" si="27"/>
        <v>2166.67</v>
      </c>
      <c r="E43" s="35">
        <f t="shared" si="28"/>
        <v>3.6000144000576002</v>
      </c>
      <c r="F43" s="34">
        <f>(F41)+(F42)</f>
        <v>0</v>
      </c>
      <c r="G43" s="34">
        <f>(G41)+(G42)</f>
        <v>833.33</v>
      </c>
      <c r="H43" s="34">
        <f t="shared" si="29"/>
        <v>-833.33</v>
      </c>
      <c r="I43" s="35">
        <f t="shared" si="30"/>
        <v>0</v>
      </c>
      <c r="J43" s="34">
        <f>(J41)+(J42)</f>
        <v>0</v>
      </c>
      <c r="K43" s="34">
        <f>(K41)+(K42)</f>
        <v>833.33</v>
      </c>
      <c r="L43" s="34">
        <f t="shared" si="31"/>
        <v>-833.33</v>
      </c>
      <c r="M43" s="35">
        <f t="shared" si="32"/>
        <v>0</v>
      </c>
      <c r="N43" s="34">
        <f>(N41)+(N42)</f>
        <v>0</v>
      </c>
      <c r="O43" s="34">
        <f>(O41)+(O42)</f>
        <v>833.33</v>
      </c>
      <c r="P43" s="34">
        <f t="shared" si="33"/>
        <v>-833.33</v>
      </c>
      <c r="Q43" s="35">
        <f t="shared" si="34"/>
        <v>0</v>
      </c>
      <c r="R43" s="34">
        <f>(R41)+(R42)</f>
        <v>0</v>
      </c>
      <c r="S43" s="34">
        <f>(S41)+(S42)</f>
        <v>833.33</v>
      </c>
      <c r="T43" s="34">
        <f t="shared" si="35"/>
        <v>-833.33</v>
      </c>
      <c r="U43" s="35">
        <f t="shared" si="36"/>
        <v>0</v>
      </c>
      <c r="V43" s="34">
        <f>(V41)+(V42)</f>
        <v>0</v>
      </c>
      <c r="W43" s="34">
        <f>(W41)+(W42)</f>
        <v>833.33</v>
      </c>
      <c r="X43" s="34">
        <f t="shared" si="37"/>
        <v>-833.33</v>
      </c>
      <c r="Y43" s="35">
        <f t="shared" si="38"/>
        <v>0</v>
      </c>
      <c r="Z43" s="34">
        <f>(Z41)+(Z42)</f>
        <v>0</v>
      </c>
      <c r="AA43" s="34">
        <f>(AA41)+(AA42)</f>
        <v>833.33</v>
      </c>
      <c r="AB43" s="34">
        <f t="shared" si="39"/>
        <v>-833.33</v>
      </c>
      <c r="AC43" s="35">
        <f t="shared" si="40"/>
        <v>0</v>
      </c>
      <c r="AD43" s="34">
        <f>(AD41)+(AD42)</f>
        <v>0</v>
      </c>
      <c r="AE43" s="34">
        <f>(AE41)+(AE42)</f>
        <v>833.33</v>
      </c>
      <c r="AF43" s="34">
        <f t="shared" si="41"/>
        <v>-833.33</v>
      </c>
      <c r="AG43" s="35">
        <f t="shared" si="42"/>
        <v>0</v>
      </c>
      <c r="AH43" s="34">
        <f>(AH41)+(AH42)</f>
        <v>0</v>
      </c>
      <c r="AI43" s="34">
        <f>(AI41)+(AI42)</f>
        <v>833.33</v>
      </c>
      <c r="AJ43" s="34">
        <f t="shared" si="43"/>
        <v>-833.33</v>
      </c>
      <c r="AK43" s="35">
        <f t="shared" si="44"/>
        <v>0</v>
      </c>
      <c r="AL43" s="34">
        <f>(AL41)+(AL42)</f>
        <v>0</v>
      </c>
      <c r="AM43" s="34">
        <f>(AM41)+(AM42)</f>
        <v>833.33</v>
      </c>
      <c r="AN43" s="34">
        <f t="shared" si="45"/>
        <v>-833.33</v>
      </c>
      <c r="AO43" s="35">
        <f t="shared" si="46"/>
        <v>0</v>
      </c>
      <c r="AP43" s="34">
        <f>(AP41)+(AP42)</f>
        <v>0</v>
      </c>
      <c r="AQ43" s="34">
        <f>(AQ41)+(AQ42)</f>
        <v>833.33</v>
      </c>
      <c r="AR43" s="34">
        <f t="shared" si="47"/>
        <v>-833.33</v>
      </c>
      <c r="AS43" s="35">
        <f t="shared" si="48"/>
        <v>0</v>
      </c>
      <c r="AT43" s="34">
        <f>(AT41)+(AT42)</f>
        <v>0</v>
      </c>
      <c r="AU43" s="34">
        <f>(AU41)+(AU42)</f>
        <v>833.37</v>
      </c>
      <c r="AV43" s="34">
        <f t="shared" si="49"/>
        <v>-833.37</v>
      </c>
      <c r="AW43" s="35">
        <f t="shared" si="50"/>
        <v>0</v>
      </c>
      <c r="AX43" s="34">
        <f t="shared" si="51"/>
        <v>3000</v>
      </c>
      <c r="AY43" s="34">
        <f t="shared" si="51"/>
        <v>10000.000000000002</v>
      </c>
      <c r="AZ43" s="34">
        <f t="shared" si="52"/>
        <v>-7000.0000000000018</v>
      </c>
      <c r="BA43" s="35">
        <f t="shared" si="53"/>
        <v>0.29999999999999993</v>
      </c>
    </row>
    <row r="44" spans="1:53" x14ac:dyDescent="0.3">
      <c r="A44" s="30" t="s">
        <v>122</v>
      </c>
      <c r="B44" s="32">
        <f>9300</f>
        <v>9300</v>
      </c>
      <c r="C44" s="32">
        <f>1666.67</f>
        <v>1666.67</v>
      </c>
      <c r="D44" s="32">
        <f t="shared" si="27"/>
        <v>7633.33</v>
      </c>
      <c r="E44" s="33">
        <f t="shared" si="28"/>
        <v>5.5799888400223194</v>
      </c>
      <c r="F44" s="31"/>
      <c r="G44" s="32">
        <f>1666.67</f>
        <v>1666.67</v>
      </c>
      <c r="H44" s="32">
        <f t="shared" si="29"/>
        <v>-1666.67</v>
      </c>
      <c r="I44" s="33">
        <f t="shared" si="30"/>
        <v>0</v>
      </c>
      <c r="J44" s="32">
        <f>257.5</f>
        <v>257.5</v>
      </c>
      <c r="K44" s="32">
        <f>1666.67</f>
        <v>1666.67</v>
      </c>
      <c r="L44" s="32">
        <f t="shared" si="31"/>
        <v>-1409.17</v>
      </c>
      <c r="M44" s="33">
        <f t="shared" si="32"/>
        <v>0.154499691000618</v>
      </c>
      <c r="N44" s="31"/>
      <c r="O44" s="32">
        <f>1666.67</f>
        <v>1666.67</v>
      </c>
      <c r="P44" s="32">
        <f t="shared" si="33"/>
        <v>-1666.67</v>
      </c>
      <c r="Q44" s="33">
        <f t="shared" si="34"/>
        <v>0</v>
      </c>
      <c r="R44" s="31"/>
      <c r="S44" s="32">
        <f>1666.67</f>
        <v>1666.67</v>
      </c>
      <c r="T44" s="32">
        <f t="shared" si="35"/>
        <v>-1666.67</v>
      </c>
      <c r="U44" s="33">
        <f t="shared" si="36"/>
        <v>0</v>
      </c>
      <c r="V44" s="31"/>
      <c r="W44" s="32">
        <f>1666.67</f>
        <v>1666.67</v>
      </c>
      <c r="X44" s="32">
        <f t="shared" si="37"/>
        <v>-1666.67</v>
      </c>
      <c r="Y44" s="33">
        <f t="shared" si="38"/>
        <v>0</v>
      </c>
      <c r="Z44" s="31"/>
      <c r="AA44" s="32">
        <f>1666.67</f>
        <v>1666.67</v>
      </c>
      <c r="AB44" s="32">
        <f t="shared" si="39"/>
        <v>-1666.67</v>
      </c>
      <c r="AC44" s="33">
        <f t="shared" si="40"/>
        <v>0</v>
      </c>
      <c r="AD44" s="31"/>
      <c r="AE44" s="32">
        <f>1666.67</f>
        <v>1666.67</v>
      </c>
      <c r="AF44" s="32">
        <f t="shared" si="41"/>
        <v>-1666.67</v>
      </c>
      <c r="AG44" s="33">
        <f t="shared" si="42"/>
        <v>0</v>
      </c>
      <c r="AH44" s="31"/>
      <c r="AI44" s="32">
        <f>1666.67</f>
        <v>1666.67</v>
      </c>
      <c r="AJ44" s="32">
        <f t="shared" si="43"/>
        <v>-1666.67</v>
      </c>
      <c r="AK44" s="33">
        <f t="shared" si="44"/>
        <v>0</v>
      </c>
      <c r="AL44" s="31"/>
      <c r="AM44" s="32">
        <f>1666.67</f>
        <v>1666.67</v>
      </c>
      <c r="AN44" s="32">
        <f t="shared" si="45"/>
        <v>-1666.67</v>
      </c>
      <c r="AO44" s="33">
        <f t="shared" si="46"/>
        <v>0</v>
      </c>
      <c r="AP44" s="31"/>
      <c r="AQ44" s="32">
        <f>1666.67</f>
        <v>1666.67</v>
      </c>
      <c r="AR44" s="32">
        <f t="shared" si="47"/>
        <v>-1666.67</v>
      </c>
      <c r="AS44" s="33">
        <f t="shared" si="48"/>
        <v>0</v>
      </c>
      <c r="AT44" s="31"/>
      <c r="AU44" s="32">
        <f>1666.63</f>
        <v>1666.63</v>
      </c>
      <c r="AV44" s="32">
        <f t="shared" si="49"/>
        <v>-1666.63</v>
      </c>
      <c r="AW44" s="33">
        <f t="shared" si="50"/>
        <v>0</v>
      </c>
      <c r="AX44" s="32">
        <f t="shared" si="51"/>
        <v>9557.5</v>
      </c>
      <c r="AY44" s="32">
        <f t="shared" si="51"/>
        <v>20000.000000000004</v>
      </c>
      <c r="AZ44" s="32">
        <f t="shared" si="52"/>
        <v>-10442.500000000004</v>
      </c>
      <c r="BA44" s="33">
        <f t="shared" si="53"/>
        <v>0.47787499999999994</v>
      </c>
    </row>
    <row r="45" spans="1:53" x14ac:dyDescent="0.3">
      <c r="A45" s="30" t="s">
        <v>123</v>
      </c>
      <c r="B45" s="31"/>
      <c r="C45" s="31"/>
      <c r="D45" s="32">
        <f t="shared" si="27"/>
        <v>0</v>
      </c>
      <c r="E45" s="33" t="str">
        <f t="shared" si="28"/>
        <v/>
      </c>
      <c r="F45" s="31"/>
      <c r="G45" s="31"/>
      <c r="H45" s="32">
        <f t="shared" si="29"/>
        <v>0</v>
      </c>
      <c r="I45" s="33" t="str">
        <f t="shared" si="30"/>
        <v/>
      </c>
      <c r="J45" s="31"/>
      <c r="K45" s="31"/>
      <c r="L45" s="32">
        <f t="shared" si="31"/>
        <v>0</v>
      </c>
      <c r="M45" s="33" t="str">
        <f t="shared" si="32"/>
        <v/>
      </c>
      <c r="N45" s="31"/>
      <c r="O45" s="31"/>
      <c r="P45" s="32">
        <f t="shared" si="33"/>
        <v>0</v>
      </c>
      <c r="Q45" s="33" t="str">
        <f t="shared" si="34"/>
        <v/>
      </c>
      <c r="R45" s="31"/>
      <c r="S45" s="31"/>
      <c r="T45" s="32">
        <f t="shared" si="35"/>
        <v>0</v>
      </c>
      <c r="U45" s="33" t="str">
        <f t="shared" si="36"/>
        <v/>
      </c>
      <c r="V45" s="31"/>
      <c r="W45" s="31"/>
      <c r="X45" s="32">
        <f t="shared" si="37"/>
        <v>0</v>
      </c>
      <c r="Y45" s="33" t="str">
        <f t="shared" si="38"/>
        <v/>
      </c>
      <c r="Z45" s="31"/>
      <c r="AA45" s="31"/>
      <c r="AB45" s="32">
        <f t="shared" si="39"/>
        <v>0</v>
      </c>
      <c r="AC45" s="33" t="str">
        <f t="shared" si="40"/>
        <v/>
      </c>
      <c r="AD45" s="31"/>
      <c r="AE45" s="31"/>
      <c r="AF45" s="32">
        <f t="shared" si="41"/>
        <v>0</v>
      </c>
      <c r="AG45" s="33" t="str">
        <f t="shared" si="42"/>
        <v/>
      </c>
      <c r="AH45" s="31"/>
      <c r="AI45" s="31"/>
      <c r="AJ45" s="32">
        <f t="shared" si="43"/>
        <v>0</v>
      </c>
      <c r="AK45" s="33" t="str">
        <f t="shared" si="44"/>
        <v/>
      </c>
      <c r="AL45" s="31"/>
      <c r="AM45" s="31"/>
      <c r="AN45" s="32">
        <f t="shared" si="45"/>
        <v>0</v>
      </c>
      <c r="AO45" s="33" t="str">
        <f t="shared" si="46"/>
        <v/>
      </c>
      <c r="AP45" s="31"/>
      <c r="AQ45" s="31"/>
      <c r="AR45" s="32">
        <f t="shared" si="47"/>
        <v>0</v>
      </c>
      <c r="AS45" s="33" t="str">
        <f t="shared" si="48"/>
        <v/>
      </c>
      <c r="AT45" s="31"/>
      <c r="AU45" s="31"/>
      <c r="AV45" s="32">
        <f t="shared" si="49"/>
        <v>0</v>
      </c>
      <c r="AW45" s="33" t="str">
        <f t="shared" si="50"/>
        <v/>
      </c>
      <c r="AX45" s="32">
        <f t="shared" si="51"/>
        <v>0</v>
      </c>
      <c r="AY45" s="32">
        <f t="shared" si="51"/>
        <v>0</v>
      </c>
      <c r="AZ45" s="32">
        <f t="shared" si="52"/>
        <v>0</v>
      </c>
      <c r="BA45" s="33" t="str">
        <f t="shared" si="53"/>
        <v/>
      </c>
    </row>
    <row r="46" spans="1:53" x14ac:dyDescent="0.3">
      <c r="A46" s="30" t="s">
        <v>124</v>
      </c>
      <c r="B46" s="32">
        <f>1468.45</f>
        <v>1468.45</v>
      </c>
      <c r="C46" s="32">
        <f>1166.67</f>
        <v>1166.67</v>
      </c>
      <c r="D46" s="32">
        <f t="shared" si="27"/>
        <v>301.77999999999997</v>
      </c>
      <c r="E46" s="33">
        <f t="shared" si="28"/>
        <v>1.2586678323776217</v>
      </c>
      <c r="F46" s="32">
        <f>1180.41</f>
        <v>1180.4100000000001</v>
      </c>
      <c r="G46" s="32">
        <f>1166.67</f>
        <v>1166.67</v>
      </c>
      <c r="H46" s="32">
        <f t="shared" si="29"/>
        <v>13.740000000000009</v>
      </c>
      <c r="I46" s="33">
        <f t="shared" si="30"/>
        <v>1.0117771092082595</v>
      </c>
      <c r="J46" s="32">
        <f>1097.19</f>
        <v>1097.19</v>
      </c>
      <c r="K46" s="32">
        <f>1166.67</f>
        <v>1166.67</v>
      </c>
      <c r="L46" s="32">
        <f t="shared" si="31"/>
        <v>-69.480000000000018</v>
      </c>
      <c r="M46" s="33">
        <f t="shared" si="32"/>
        <v>0.94044588444033017</v>
      </c>
      <c r="N46" s="31"/>
      <c r="O46" s="32">
        <f>1166.67</f>
        <v>1166.67</v>
      </c>
      <c r="P46" s="32">
        <f t="shared" si="33"/>
        <v>-1166.67</v>
      </c>
      <c r="Q46" s="33">
        <f t="shared" si="34"/>
        <v>0</v>
      </c>
      <c r="R46" s="31"/>
      <c r="S46" s="32">
        <f>1166.67</f>
        <v>1166.67</v>
      </c>
      <c r="T46" s="32">
        <f t="shared" si="35"/>
        <v>-1166.67</v>
      </c>
      <c r="U46" s="33">
        <f t="shared" si="36"/>
        <v>0</v>
      </c>
      <c r="V46" s="31"/>
      <c r="W46" s="32">
        <f>1166.67</f>
        <v>1166.67</v>
      </c>
      <c r="X46" s="32">
        <f t="shared" si="37"/>
        <v>-1166.67</v>
      </c>
      <c r="Y46" s="33">
        <f t="shared" si="38"/>
        <v>0</v>
      </c>
      <c r="Z46" s="31"/>
      <c r="AA46" s="32">
        <f>1166.67</f>
        <v>1166.67</v>
      </c>
      <c r="AB46" s="32">
        <f t="shared" si="39"/>
        <v>-1166.67</v>
      </c>
      <c r="AC46" s="33">
        <f t="shared" si="40"/>
        <v>0</v>
      </c>
      <c r="AD46" s="31"/>
      <c r="AE46" s="32">
        <f>1166.67</f>
        <v>1166.67</v>
      </c>
      <c r="AF46" s="32">
        <f t="shared" si="41"/>
        <v>-1166.67</v>
      </c>
      <c r="AG46" s="33">
        <f t="shared" si="42"/>
        <v>0</v>
      </c>
      <c r="AH46" s="31"/>
      <c r="AI46" s="32">
        <f>1166.67</f>
        <v>1166.67</v>
      </c>
      <c r="AJ46" s="32">
        <f t="shared" si="43"/>
        <v>-1166.67</v>
      </c>
      <c r="AK46" s="33">
        <f t="shared" si="44"/>
        <v>0</v>
      </c>
      <c r="AL46" s="31"/>
      <c r="AM46" s="32">
        <f>1166.67</f>
        <v>1166.67</v>
      </c>
      <c r="AN46" s="32">
        <f t="shared" si="45"/>
        <v>-1166.67</v>
      </c>
      <c r="AO46" s="33">
        <f t="shared" si="46"/>
        <v>0</v>
      </c>
      <c r="AP46" s="31"/>
      <c r="AQ46" s="32">
        <f>1166.67</f>
        <v>1166.67</v>
      </c>
      <c r="AR46" s="32">
        <f t="shared" si="47"/>
        <v>-1166.67</v>
      </c>
      <c r="AS46" s="33">
        <f t="shared" si="48"/>
        <v>0</v>
      </c>
      <c r="AT46" s="31"/>
      <c r="AU46" s="32">
        <f>1166.63</f>
        <v>1166.6300000000001</v>
      </c>
      <c r="AV46" s="32">
        <f t="shared" si="49"/>
        <v>-1166.6300000000001</v>
      </c>
      <c r="AW46" s="33">
        <f t="shared" si="50"/>
        <v>0</v>
      </c>
      <c r="AX46" s="32">
        <f t="shared" si="51"/>
        <v>3746.05</v>
      </c>
      <c r="AY46" s="32">
        <f t="shared" si="51"/>
        <v>14000</v>
      </c>
      <c r="AZ46" s="32">
        <f t="shared" si="52"/>
        <v>-10253.950000000001</v>
      </c>
      <c r="BA46" s="33">
        <f t="shared" si="53"/>
        <v>0.26757500000000001</v>
      </c>
    </row>
    <row r="47" spans="1:53" x14ac:dyDescent="0.3">
      <c r="A47" s="30" t="s">
        <v>125</v>
      </c>
      <c r="B47" s="32">
        <f>1452.2</f>
        <v>1452.2</v>
      </c>
      <c r="C47" s="32">
        <f>1333.33</f>
        <v>1333.33</v>
      </c>
      <c r="D47" s="32">
        <f t="shared" si="27"/>
        <v>118.87000000000012</v>
      </c>
      <c r="E47" s="33">
        <f t="shared" si="28"/>
        <v>1.0891527228818072</v>
      </c>
      <c r="F47" s="32">
        <f>1610.46</f>
        <v>1610.46</v>
      </c>
      <c r="G47" s="32">
        <f>1333.33</f>
        <v>1333.33</v>
      </c>
      <c r="H47" s="32">
        <f t="shared" si="29"/>
        <v>277.13000000000011</v>
      </c>
      <c r="I47" s="33">
        <f t="shared" si="30"/>
        <v>1.2078480196200492</v>
      </c>
      <c r="J47" s="32">
        <f>2284.65</f>
        <v>2284.65</v>
      </c>
      <c r="K47" s="32">
        <f>1333.33</f>
        <v>1333.33</v>
      </c>
      <c r="L47" s="32">
        <f t="shared" si="31"/>
        <v>951.32000000000016</v>
      </c>
      <c r="M47" s="33">
        <f t="shared" si="32"/>
        <v>1.7134917837294594</v>
      </c>
      <c r="N47" s="31"/>
      <c r="O47" s="32">
        <f>1333.33</f>
        <v>1333.33</v>
      </c>
      <c r="P47" s="32">
        <f t="shared" si="33"/>
        <v>-1333.33</v>
      </c>
      <c r="Q47" s="33">
        <f t="shared" si="34"/>
        <v>0</v>
      </c>
      <c r="R47" s="31"/>
      <c r="S47" s="32">
        <f>1333.33</f>
        <v>1333.33</v>
      </c>
      <c r="T47" s="32">
        <f t="shared" si="35"/>
        <v>-1333.33</v>
      </c>
      <c r="U47" s="33">
        <f t="shared" si="36"/>
        <v>0</v>
      </c>
      <c r="V47" s="31"/>
      <c r="W47" s="32">
        <f>1333.33</f>
        <v>1333.33</v>
      </c>
      <c r="X47" s="32">
        <f t="shared" si="37"/>
        <v>-1333.33</v>
      </c>
      <c r="Y47" s="33">
        <f t="shared" si="38"/>
        <v>0</v>
      </c>
      <c r="Z47" s="31"/>
      <c r="AA47" s="32">
        <f>1333.33</f>
        <v>1333.33</v>
      </c>
      <c r="AB47" s="32">
        <f t="shared" si="39"/>
        <v>-1333.33</v>
      </c>
      <c r="AC47" s="33">
        <f t="shared" si="40"/>
        <v>0</v>
      </c>
      <c r="AD47" s="31"/>
      <c r="AE47" s="32">
        <f>1333.33</f>
        <v>1333.33</v>
      </c>
      <c r="AF47" s="32">
        <f t="shared" si="41"/>
        <v>-1333.33</v>
      </c>
      <c r="AG47" s="33">
        <f t="shared" si="42"/>
        <v>0</v>
      </c>
      <c r="AH47" s="31"/>
      <c r="AI47" s="32">
        <f>1333.33</f>
        <v>1333.33</v>
      </c>
      <c r="AJ47" s="32">
        <f t="shared" si="43"/>
        <v>-1333.33</v>
      </c>
      <c r="AK47" s="33">
        <f t="shared" si="44"/>
        <v>0</v>
      </c>
      <c r="AL47" s="31"/>
      <c r="AM47" s="32">
        <f>1333.33</f>
        <v>1333.33</v>
      </c>
      <c r="AN47" s="32">
        <f t="shared" si="45"/>
        <v>-1333.33</v>
      </c>
      <c r="AO47" s="33">
        <f t="shared" si="46"/>
        <v>0</v>
      </c>
      <c r="AP47" s="31"/>
      <c r="AQ47" s="32">
        <f>1333.33</f>
        <v>1333.33</v>
      </c>
      <c r="AR47" s="32">
        <f t="shared" si="47"/>
        <v>-1333.33</v>
      </c>
      <c r="AS47" s="33">
        <f t="shared" si="48"/>
        <v>0</v>
      </c>
      <c r="AT47" s="31"/>
      <c r="AU47" s="32">
        <f>1333.37</f>
        <v>1333.37</v>
      </c>
      <c r="AV47" s="32">
        <f t="shared" si="49"/>
        <v>-1333.37</v>
      </c>
      <c r="AW47" s="33">
        <f t="shared" si="50"/>
        <v>0</v>
      </c>
      <c r="AX47" s="32">
        <f t="shared" si="51"/>
        <v>5347.3099999999995</v>
      </c>
      <c r="AY47" s="32">
        <f t="shared" si="51"/>
        <v>16000</v>
      </c>
      <c r="AZ47" s="32">
        <f t="shared" si="52"/>
        <v>-10652.69</v>
      </c>
      <c r="BA47" s="33">
        <f t="shared" si="53"/>
        <v>0.33420687499999996</v>
      </c>
    </row>
    <row r="48" spans="1:53" x14ac:dyDescent="0.3">
      <c r="A48" s="30" t="s">
        <v>126</v>
      </c>
      <c r="B48" s="31"/>
      <c r="C48" s="32">
        <f>458.33</f>
        <v>458.33</v>
      </c>
      <c r="D48" s="32">
        <f t="shared" si="27"/>
        <v>-458.33</v>
      </c>
      <c r="E48" s="33">
        <f t="shared" si="28"/>
        <v>0</v>
      </c>
      <c r="F48" s="31"/>
      <c r="G48" s="32">
        <f>458.33</f>
        <v>458.33</v>
      </c>
      <c r="H48" s="32">
        <f t="shared" si="29"/>
        <v>-458.33</v>
      </c>
      <c r="I48" s="33">
        <f t="shared" si="30"/>
        <v>0</v>
      </c>
      <c r="J48" s="31"/>
      <c r="K48" s="32">
        <f>458.33</f>
        <v>458.33</v>
      </c>
      <c r="L48" s="32">
        <f t="shared" si="31"/>
        <v>-458.33</v>
      </c>
      <c r="M48" s="33">
        <f t="shared" si="32"/>
        <v>0</v>
      </c>
      <c r="N48" s="31"/>
      <c r="O48" s="32">
        <f>458.33</f>
        <v>458.33</v>
      </c>
      <c r="P48" s="32">
        <f t="shared" si="33"/>
        <v>-458.33</v>
      </c>
      <c r="Q48" s="33">
        <f t="shared" si="34"/>
        <v>0</v>
      </c>
      <c r="R48" s="31"/>
      <c r="S48" s="32">
        <f>458.33</f>
        <v>458.33</v>
      </c>
      <c r="T48" s="32">
        <f t="shared" si="35"/>
        <v>-458.33</v>
      </c>
      <c r="U48" s="33">
        <f t="shared" si="36"/>
        <v>0</v>
      </c>
      <c r="V48" s="31"/>
      <c r="W48" s="32">
        <f>458.33</f>
        <v>458.33</v>
      </c>
      <c r="X48" s="32">
        <f t="shared" si="37"/>
        <v>-458.33</v>
      </c>
      <c r="Y48" s="33">
        <f t="shared" si="38"/>
        <v>0</v>
      </c>
      <c r="Z48" s="31"/>
      <c r="AA48" s="32">
        <f>458.33</f>
        <v>458.33</v>
      </c>
      <c r="AB48" s="32">
        <f t="shared" si="39"/>
        <v>-458.33</v>
      </c>
      <c r="AC48" s="33">
        <f t="shared" si="40"/>
        <v>0</v>
      </c>
      <c r="AD48" s="31"/>
      <c r="AE48" s="32">
        <f>458.33</f>
        <v>458.33</v>
      </c>
      <c r="AF48" s="32">
        <f t="shared" si="41"/>
        <v>-458.33</v>
      </c>
      <c r="AG48" s="33">
        <f t="shared" si="42"/>
        <v>0</v>
      </c>
      <c r="AH48" s="31"/>
      <c r="AI48" s="32">
        <f>458.33</f>
        <v>458.33</v>
      </c>
      <c r="AJ48" s="32">
        <f t="shared" si="43"/>
        <v>-458.33</v>
      </c>
      <c r="AK48" s="33">
        <f t="shared" si="44"/>
        <v>0</v>
      </c>
      <c r="AL48" s="31"/>
      <c r="AM48" s="32">
        <f>458.33</f>
        <v>458.33</v>
      </c>
      <c r="AN48" s="32">
        <f t="shared" si="45"/>
        <v>-458.33</v>
      </c>
      <c r="AO48" s="33">
        <f t="shared" si="46"/>
        <v>0</v>
      </c>
      <c r="AP48" s="31"/>
      <c r="AQ48" s="32">
        <f>458.33</f>
        <v>458.33</v>
      </c>
      <c r="AR48" s="32">
        <f t="shared" si="47"/>
        <v>-458.33</v>
      </c>
      <c r="AS48" s="33">
        <f t="shared" si="48"/>
        <v>0</v>
      </c>
      <c r="AT48" s="31"/>
      <c r="AU48" s="32">
        <f>458.37</f>
        <v>458.37</v>
      </c>
      <c r="AV48" s="32">
        <f t="shared" si="49"/>
        <v>-458.37</v>
      </c>
      <c r="AW48" s="33">
        <f t="shared" si="50"/>
        <v>0</v>
      </c>
      <c r="AX48" s="32">
        <f t="shared" si="51"/>
        <v>0</v>
      </c>
      <c r="AY48" s="32">
        <f t="shared" si="51"/>
        <v>5500</v>
      </c>
      <c r="AZ48" s="32">
        <f t="shared" si="52"/>
        <v>-5500</v>
      </c>
      <c r="BA48" s="33">
        <f t="shared" si="53"/>
        <v>0</v>
      </c>
    </row>
    <row r="49" spans="1:53" x14ac:dyDescent="0.3">
      <c r="A49" s="30" t="s">
        <v>127</v>
      </c>
      <c r="B49" s="34">
        <f>(((B45)+(B46))+(B47))+(B48)</f>
        <v>2920.65</v>
      </c>
      <c r="C49" s="34">
        <f>(((C45)+(C46))+(C47))+(C48)</f>
        <v>2958.33</v>
      </c>
      <c r="D49" s="34">
        <f t="shared" si="27"/>
        <v>-37.679999999999836</v>
      </c>
      <c r="E49" s="35">
        <f t="shared" si="28"/>
        <v>0.98726308424009501</v>
      </c>
      <c r="F49" s="34">
        <f>(((F45)+(F46))+(F47))+(F48)</f>
        <v>2790.87</v>
      </c>
      <c r="G49" s="34">
        <f>(((G45)+(G46))+(G47))+(G48)</f>
        <v>2958.33</v>
      </c>
      <c r="H49" s="34">
        <f t="shared" si="29"/>
        <v>-167.46000000000004</v>
      </c>
      <c r="I49" s="35">
        <f t="shared" si="30"/>
        <v>0.94339373903519885</v>
      </c>
      <c r="J49" s="34">
        <f>(((J45)+(J46))+(J47))+(J48)</f>
        <v>3381.84</v>
      </c>
      <c r="K49" s="34">
        <f>(((K45)+(K46))+(K47))+(K48)</f>
        <v>2958.33</v>
      </c>
      <c r="L49" s="34">
        <f t="shared" si="31"/>
        <v>423.51000000000022</v>
      </c>
      <c r="M49" s="35">
        <f t="shared" si="32"/>
        <v>1.1431584711644747</v>
      </c>
      <c r="N49" s="34">
        <f>(((N45)+(N46))+(N47))+(N48)</f>
        <v>0</v>
      </c>
      <c r="O49" s="34">
        <f>(((O45)+(O46))+(O47))+(O48)</f>
        <v>2958.33</v>
      </c>
      <c r="P49" s="34">
        <f t="shared" si="33"/>
        <v>-2958.33</v>
      </c>
      <c r="Q49" s="35">
        <f t="shared" si="34"/>
        <v>0</v>
      </c>
      <c r="R49" s="34">
        <f>(((R45)+(R46))+(R47))+(R48)</f>
        <v>0</v>
      </c>
      <c r="S49" s="34">
        <f>(((S45)+(S46))+(S47))+(S48)</f>
        <v>2958.33</v>
      </c>
      <c r="T49" s="34">
        <f t="shared" si="35"/>
        <v>-2958.33</v>
      </c>
      <c r="U49" s="35">
        <f t="shared" si="36"/>
        <v>0</v>
      </c>
      <c r="V49" s="34">
        <f>(((V45)+(V46))+(V47))+(V48)</f>
        <v>0</v>
      </c>
      <c r="W49" s="34">
        <f>(((W45)+(W46))+(W47))+(W48)</f>
        <v>2958.33</v>
      </c>
      <c r="X49" s="34">
        <f t="shared" si="37"/>
        <v>-2958.33</v>
      </c>
      <c r="Y49" s="35">
        <f t="shared" si="38"/>
        <v>0</v>
      </c>
      <c r="Z49" s="34">
        <f>(((Z45)+(Z46))+(Z47))+(Z48)</f>
        <v>0</v>
      </c>
      <c r="AA49" s="34">
        <f>(((AA45)+(AA46))+(AA47))+(AA48)</f>
        <v>2958.33</v>
      </c>
      <c r="AB49" s="34">
        <f t="shared" si="39"/>
        <v>-2958.33</v>
      </c>
      <c r="AC49" s="35">
        <f t="shared" si="40"/>
        <v>0</v>
      </c>
      <c r="AD49" s="34">
        <f>(((AD45)+(AD46))+(AD47))+(AD48)</f>
        <v>0</v>
      </c>
      <c r="AE49" s="34">
        <f>(((AE45)+(AE46))+(AE47))+(AE48)</f>
        <v>2958.33</v>
      </c>
      <c r="AF49" s="34">
        <f t="shared" si="41"/>
        <v>-2958.33</v>
      </c>
      <c r="AG49" s="35">
        <f t="shared" si="42"/>
        <v>0</v>
      </c>
      <c r="AH49" s="34">
        <f>(((AH45)+(AH46))+(AH47))+(AH48)</f>
        <v>0</v>
      </c>
      <c r="AI49" s="34">
        <f>(((AI45)+(AI46))+(AI47))+(AI48)</f>
        <v>2958.33</v>
      </c>
      <c r="AJ49" s="34">
        <f t="shared" si="43"/>
        <v>-2958.33</v>
      </c>
      <c r="AK49" s="35">
        <f t="shared" si="44"/>
        <v>0</v>
      </c>
      <c r="AL49" s="34">
        <f>(((AL45)+(AL46))+(AL47))+(AL48)</f>
        <v>0</v>
      </c>
      <c r="AM49" s="34">
        <f>(((AM45)+(AM46))+(AM47))+(AM48)</f>
        <v>2958.33</v>
      </c>
      <c r="AN49" s="34">
        <f t="shared" si="45"/>
        <v>-2958.33</v>
      </c>
      <c r="AO49" s="35">
        <f t="shared" si="46"/>
        <v>0</v>
      </c>
      <c r="AP49" s="34">
        <f>(((AP45)+(AP46))+(AP47))+(AP48)</f>
        <v>0</v>
      </c>
      <c r="AQ49" s="34">
        <f>(((AQ45)+(AQ46))+(AQ47))+(AQ48)</f>
        <v>2958.33</v>
      </c>
      <c r="AR49" s="34">
        <f t="shared" si="47"/>
        <v>-2958.33</v>
      </c>
      <c r="AS49" s="35">
        <f t="shared" si="48"/>
        <v>0</v>
      </c>
      <c r="AT49" s="34">
        <f>(((AT45)+(AT46))+(AT47))+(AT48)</f>
        <v>0</v>
      </c>
      <c r="AU49" s="34">
        <f>(((AU45)+(AU46))+(AU47))+(AU48)</f>
        <v>2958.37</v>
      </c>
      <c r="AV49" s="34">
        <f t="shared" si="49"/>
        <v>-2958.37</v>
      </c>
      <c r="AW49" s="35">
        <f t="shared" si="50"/>
        <v>0</v>
      </c>
      <c r="AX49" s="34">
        <f t="shared" si="51"/>
        <v>9093.36</v>
      </c>
      <c r="AY49" s="34">
        <f t="shared" si="51"/>
        <v>35500.000000000007</v>
      </c>
      <c r="AZ49" s="34">
        <f t="shared" si="52"/>
        <v>-26406.640000000007</v>
      </c>
      <c r="BA49" s="35">
        <f t="shared" si="53"/>
        <v>0.2561509859154929</v>
      </c>
    </row>
    <row r="50" spans="1:53" x14ac:dyDescent="0.3">
      <c r="A50" s="30" t="s">
        <v>128</v>
      </c>
      <c r="B50" s="32">
        <f>4000</f>
        <v>4000</v>
      </c>
      <c r="C50" s="32">
        <f>333.33</f>
        <v>333.33</v>
      </c>
      <c r="D50" s="32">
        <f t="shared" si="27"/>
        <v>3666.67</v>
      </c>
      <c r="E50" s="33">
        <f t="shared" si="28"/>
        <v>12.000120001200013</v>
      </c>
      <c r="F50" s="31"/>
      <c r="G50" s="32">
        <f>333.33</f>
        <v>333.33</v>
      </c>
      <c r="H50" s="32">
        <f t="shared" si="29"/>
        <v>-333.33</v>
      </c>
      <c r="I50" s="33">
        <f t="shared" si="30"/>
        <v>0</v>
      </c>
      <c r="J50" s="31"/>
      <c r="K50" s="32">
        <f>333.33</f>
        <v>333.33</v>
      </c>
      <c r="L50" s="32">
        <f t="shared" si="31"/>
        <v>-333.33</v>
      </c>
      <c r="M50" s="33">
        <f t="shared" si="32"/>
        <v>0</v>
      </c>
      <c r="N50" s="31"/>
      <c r="O50" s="32">
        <f>333.33</f>
        <v>333.33</v>
      </c>
      <c r="P50" s="32">
        <f t="shared" si="33"/>
        <v>-333.33</v>
      </c>
      <c r="Q50" s="33">
        <f t="shared" si="34"/>
        <v>0</v>
      </c>
      <c r="R50" s="31"/>
      <c r="S50" s="32">
        <f>333.33</f>
        <v>333.33</v>
      </c>
      <c r="T50" s="32">
        <f t="shared" si="35"/>
        <v>-333.33</v>
      </c>
      <c r="U50" s="33">
        <f t="shared" si="36"/>
        <v>0</v>
      </c>
      <c r="V50" s="31"/>
      <c r="W50" s="32">
        <f>333.33</f>
        <v>333.33</v>
      </c>
      <c r="X50" s="32">
        <f t="shared" si="37"/>
        <v>-333.33</v>
      </c>
      <c r="Y50" s="33">
        <f t="shared" si="38"/>
        <v>0</v>
      </c>
      <c r="Z50" s="31"/>
      <c r="AA50" s="32">
        <f>333.33</f>
        <v>333.33</v>
      </c>
      <c r="AB50" s="32">
        <f t="shared" si="39"/>
        <v>-333.33</v>
      </c>
      <c r="AC50" s="33">
        <f t="shared" si="40"/>
        <v>0</v>
      </c>
      <c r="AD50" s="31"/>
      <c r="AE50" s="32">
        <f>333.33</f>
        <v>333.33</v>
      </c>
      <c r="AF50" s="32">
        <f t="shared" si="41"/>
        <v>-333.33</v>
      </c>
      <c r="AG50" s="33">
        <f t="shared" si="42"/>
        <v>0</v>
      </c>
      <c r="AH50" s="31"/>
      <c r="AI50" s="32">
        <f>333.33</f>
        <v>333.33</v>
      </c>
      <c r="AJ50" s="32">
        <f t="shared" si="43"/>
        <v>-333.33</v>
      </c>
      <c r="AK50" s="33">
        <f t="shared" si="44"/>
        <v>0</v>
      </c>
      <c r="AL50" s="31"/>
      <c r="AM50" s="32">
        <f>333.33</f>
        <v>333.33</v>
      </c>
      <c r="AN50" s="32">
        <f t="shared" si="45"/>
        <v>-333.33</v>
      </c>
      <c r="AO50" s="33">
        <f t="shared" si="46"/>
        <v>0</v>
      </c>
      <c r="AP50" s="31"/>
      <c r="AQ50" s="32">
        <f>333.33</f>
        <v>333.33</v>
      </c>
      <c r="AR50" s="32">
        <f t="shared" si="47"/>
        <v>-333.33</v>
      </c>
      <c r="AS50" s="33">
        <f t="shared" si="48"/>
        <v>0</v>
      </c>
      <c r="AT50" s="31"/>
      <c r="AU50" s="32">
        <f>333.37</f>
        <v>333.37</v>
      </c>
      <c r="AV50" s="32">
        <f t="shared" si="49"/>
        <v>-333.37</v>
      </c>
      <c r="AW50" s="33">
        <f t="shared" si="50"/>
        <v>0</v>
      </c>
      <c r="AX50" s="32">
        <f t="shared" si="51"/>
        <v>4000</v>
      </c>
      <c r="AY50" s="32">
        <f t="shared" si="51"/>
        <v>3999.9999999999995</v>
      </c>
      <c r="AZ50" s="32">
        <f t="shared" si="52"/>
        <v>0</v>
      </c>
      <c r="BA50" s="33">
        <f t="shared" si="53"/>
        <v>1.0000000000000002</v>
      </c>
    </row>
    <row r="51" spans="1:53" x14ac:dyDescent="0.3">
      <c r="A51" s="30" t="s">
        <v>129</v>
      </c>
      <c r="B51" s="34">
        <f>(((((B34)+(B40))+(B43))+(B44))+(B49))+(B50)</f>
        <v>20169.84</v>
      </c>
      <c r="C51" s="34">
        <f>(((((C34)+(C40))+(C43))+(C44))+(C49))+(C50)</f>
        <v>6791.66</v>
      </c>
      <c r="D51" s="34">
        <f t="shared" si="27"/>
        <v>13378.18</v>
      </c>
      <c r="E51" s="35">
        <f t="shared" si="28"/>
        <v>2.9697953077745352</v>
      </c>
      <c r="F51" s="34">
        <f>(((((F34)+(F40))+(F43))+(F44))+(F49))+(F50)</f>
        <v>3633.6</v>
      </c>
      <c r="G51" s="34">
        <f>(((((G34)+(G40))+(G43))+(G44))+(G49))+(G50)</f>
        <v>6791.66</v>
      </c>
      <c r="H51" s="34">
        <f t="shared" si="29"/>
        <v>-3158.06</v>
      </c>
      <c r="I51" s="35">
        <f t="shared" si="30"/>
        <v>0.53500911411937579</v>
      </c>
      <c r="J51" s="34">
        <f>(((((J34)+(J40))+(J43))+(J44))+(J49))+(J50)</f>
        <v>4620.7300000000005</v>
      </c>
      <c r="K51" s="34">
        <f>(((((K34)+(K40))+(K43))+(K44))+(K49))+(K50)</f>
        <v>6791.66</v>
      </c>
      <c r="L51" s="34">
        <f t="shared" si="31"/>
        <v>-2170.9299999999994</v>
      </c>
      <c r="M51" s="35">
        <f t="shared" si="32"/>
        <v>0.68035355126728969</v>
      </c>
      <c r="N51" s="34">
        <f>(((((N34)+(N40))+(N43))+(N44))+(N49))+(N50)</f>
        <v>0</v>
      </c>
      <c r="O51" s="34">
        <f>(((((O34)+(O40))+(O43))+(O44))+(O49))+(O50)</f>
        <v>6791.66</v>
      </c>
      <c r="P51" s="34">
        <f t="shared" si="33"/>
        <v>-6791.66</v>
      </c>
      <c r="Q51" s="35">
        <f t="shared" si="34"/>
        <v>0</v>
      </c>
      <c r="R51" s="34">
        <f>(((((R34)+(R40))+(R43))+(R44))+(R49))+(R50)</f>
        <v>0</v>
      </c>
      <c r="S51" s="34">
        <f>(((((S34)+(S40))+(S43))+(S44))+(S49))+(S50)</f>
        <v>6791.66</v>
      </c>
      <c r="T51" s="34">
        <f t="shared" si="35"/>
        <v>-6791.66</v>
      </c>
      <c r="U51" s="35">
        <f t="shared" si="36"/>
        <v>0</v>
      </c>
      <c r="V51" s="34">
        <f>(((((V34)+(V40))+(V43))+(V44))+(V49))+(V50)</f>
        <v>0</v>
      </c>
      <c r="W51" s="34">
        <f>(((((W34)+(W40))+(W43))+(W44))+(W49))+(W50)</f>
        <v>6791.66</v>
      </c>
      <c r="X51" s="34">
        <f t="shared" si="37"/>
        <v>-6791.66</v>
      </c>
      <c r="Y51" s="35">
        <f t="shared" si="38"/>
        <v>0</v>
      </c>
      <c r="Z51" s="34">
        <f>(((((Z34)+(Z40))+(Z43))+(Z44))+(Z49))+(Z50)</f>
        <v>0</v>
      </c>
      <c r="AA51" s="34">
        <f>(((((AA34)+(AA40))+(AA43))+(AA44))+(AA49))+(AA50)</f>
        <v>6791.66</v>
      </c>
      <c r="AB51" s="34">
        <f t="shared" si="39"/>
        <v>-6791.66</v>
      </c>
      <c r="AC51" s="35">
        <f t="shared" si="40"/>
        <v>0</v>
      </c>
      <c r="AD51" s="34">
        <f>(((((AD34)+(AD40))+(AD43))+(AD44))+(AD49))+(AD50)</f>
        <v>0</v>
      </c>
      <c r="AE51" s="34">
        <f>(((((AE34)+(AE40))+(AE43))+(AE44))+(AE49))+(AE50)</f>
        <v>6791.66</v>
      </c>
      <c r="AF51" s="34">
        <f t="shared" si="41"/>
        <v>-6791.66</v>
      </c>
      <c r="AG51" s="35">
        <f t="shared" si="42"/>
        <v>0</v>
      </c>
      <c r="AH51" s="34">
        <f>(((((AH34)+(AH40))+(AH43))+(AH44))+(AH49))+(AH50)</f>
        <v>0</v>
      </c>
      <c r="AI51" s="34">
        <f>(((((AI34)+(AI40))+(AI43))+(AI44))+(AI49))+(AI50)</f>
        <v>6791.66</v>
      </c>
      <c r="AJ51" s="34">
        <f t="shared" si="43"/>
        <v>-6791.66</v>
      </c>
      <c r="AK51" s="35">
        <f t="shared" si="44"/>
        <v>0</v>
      </c>
      <c r="AL51" s="34">
        <f>(((((AL34)+(AL40))+(AL43))+(AL44))+(AL49))+(AL50)</f>
        <v>0</v>
      </c>
      <c r="AM51" s="34">
        <f>(((((AM34)+(AM40))+(AM43))+(AM44))+(AM49))+(AM50)</f>
        <v>6791.66</v>
      </c>
      <c r="AN51" s="34">
        <f t="shared" si="45"/>
        <v>-6791.66</v>
      </c>
      <c r="AO51" s="35">
        <f t="shared" si="46"/>
        <v>0</v>
      </c>
      <c r="AP51" s="34">
        <f>(((((AP34)+(AP40))+(AP43))+(AP44))+(AP49))+(AP50)</f>
        <v>0</v>
      </c>
      <c r="AQ51" s="34">
        <f>(((((AQ34)+(AQ40))+(AQ43))+(AQ44))+(AQ49))+(AQ50)</f>
        <v>6791.66</v>
      </c>
      <c r="AR51" s="34">
        <f t="shared" si="47"/>
        <v>-6791.66</v>
      </c>
      <c r="AS51" s="35">
        <f t="shared" si="48"/>
        <v>0</v>
      </c>
      <c r="AT51" s="34">
        <f>(((((AT34)+(AT40))+(AT43))+(AT44))+(AT49))+(AT50)</f>
        <v>0</v>
      </c>
      <c r="AU51" s="34">
        <f>(((((AU34)+(AU40))+(AU43))+(AU44))+(AU49))+(AU50)</f>
        <v>6791.74</v>
      </c>
      <c r="AV51" s="34">
        <f t="shared" si="49"/>
        <v>-6791.74</v>
      </c>
      <c r="AW51" s="35">
        <f t="shared" si="50"/>
        <v>0</v>
      </c>
      <c r="AX51" s="34">
        <f t="shared" si="51"/>
        <v>28424.17</v>
      </c>
      <c r="AY51" s="34">
        <f t="shared" si="51"/>
        <v>81500.000000000029</v>
      </c>
      <c r="AZ51" s="34">
        <f t="shared" si="52"/>
        <v>-53075.830000000031</v>
      </c>
      <c r="BA51" s="35">
        <f t="shared" si="53"/>
        <v>0.34876282208588943</v>
      </c>
    </row>
    <row r="52" spans="1:53" x14ac:dyDescent="0.3">
      <c r="A52" s="30" t="s">
        <v>130</v>
      </c>
      <c r="B52" s="32">
        <f>567.71</f>
        <v>567.71</v>
      </c>
      <c r="C52" s="32">
        <f>291.67</f>
        <v>291.67</v>
      </c>
      <c r="D52" s="32">
        <f t="shared" si="27"/>
        <v>276.04000000000002</v>
      </c>
      <c r="E52" s="33">
        <f t="shared" si="28"/>
        <v>1.9464120410052457</v>
      </c>
      <c r="F52" s="31"/>
      <c r="G52" s="32">
        <f>291.67</f>
        <v>291.67</v>
      </c>
      <c r="H52" s="32">
        <f t="shared" si="29"/>
        <v>-291.67</v>
      </c>
      <c r="I52" s="33">
        <f t="shared" si="30"/>
        <v>0</v>
      </c>
      <c r="J52" s="32">
        <f>273.39</f>
        <v>273.39</v>
      </c>
      <c r="K52" s="32">
        <f>291.67</f>
        <v>291.67</v>
      </c>
      <c r="L52" s="32">
        <f t="shared" si="31"/>
        <v>-18.28000000000003</v>
      </c>
      <c r="M52" s="33">
        <f t="shared" si="32"/>
        <v>0.93732643055507925</v>
      </c>
      <c r="N52" s="31"/>
      <c r="O52" s="32">
        <f>291.67</f>
        <v>291.67</v>
      </c>
      <c r="P52" s="32">
        <f t="shared" si="33"/>
        <v>-291.67</v>
      </c>
      <c r="Q52" s="33">
        <f t="shared" si="34"/>
        <v>0</v>
      </c>
      <c r="R52" s="31"/>
      <c r="S52" s="32">
        <f>291.67</f>
        <v>291.67</v>
      </c>
      <c r="T52" s="32">
        <f t="shared" si="35"/>
        <v>-291.67</v>
      </c>
      <c r="U52" s="33">
        <f t="shared" si="36"/>
        <v>0</v>
      </c>
      <c r="V52" s="31"/>
      <c r="W52" s="32">
        <f>291.67</f>
        <v>291.67</v>
      </c>
      <c r="X52" s="32">
        <f t="shared" si="37"/>
        <v>-291.67</v>
      </c>
      <c r="Y52" s="33">
        <f t="shared" si="38"/>
        <v>0</v>
      </c>
      <c r="Z52" s="31"/>
      <c r="AA52" s="32">
        <f>291.67</f>
        <v>291.67</v>
      </c>
      <c r="AB52" s="32">
        <f t="shared" si="39"/>
        <v>-291.67</v>
      </c>
      <c r="AC52" s="33">
        <f t="shared" si="40"/>
        <v>0</v>
      </c>
      <c r="AD52" s="31"/>
      <c r="AE52" s="32">
        <f>291.67</f>
        <v>291.67</v>
      </c>
      <c r="AF52" s="32">
        <f t="shared" si="41"/>
        <v>-291.67</v>
      </c>
      <c r="AG52" s="33">
        <f t="shared" si="42"/>
        <v>0</v>
      </c>
      <c r="AH52" s="31"/>
      <c r="AI52" s="32">
        <f>291.67</f>
        <v>291.67</v>
      </c>
      <c r="AJ52" s="32">
        <f t="shared" si="43"/>
        <v>-291.67</v>
      </c>
      <c r="AK52" s="33">
        <f t="shared" si="44"/>
        <v>0</v>
      </c>
      <c r="AL52" s="31"/>
      <c r="AM52" s="32">
        <f>291.67</f>
        <v>291.67</v>
      </c>
      <c r="AN52" s="32">
        <f t="shared" si="45"/>
        <v>-291.67</v>
      </c>
      <c r="AO52" s="33">
        <f t="shared" si="46"/>
        <v>0</v>
      </c>
      <c r="AP52" s="31"/>
      <c r="AQ52" s="32">
        <f>291.67</f>
        <v>291.67</v>
      </c>
      <c r="AR52" s="32">
        <f t="shared" si="47"/>
        <v>-291.67</v>
      </c>
      <c r="AS52" s="33">
        <f t="shared" si="48"/>
        <v>0</v>
      </c>
      <c r="AT52" s="31"/>
      <c r="AU52" s="32">
        <f>291.63</f>
        <v>291.63</v>
      </c>
      <c r="AV52" s="32">
        <f t="shared" si="49"/>
        <v>-291.63</v>
      </c>
      <c r="AW52" s="33">
        <f t="shared" si="50"/>
        <v>0</v>
      </c>
      <c r="AX52" s="32">
        <f t="shared" ref="AX52:AY83" si="54">(((((((((((B52)+(F52))+(J52))+(N52))+(R52))+(V52))+(Z52))+(AD52))+(AH52))+(AL52))+(AP52))+(AT52)</f>
        <v>841.1</v>
      </c>
      <c r="AY52" s="32">
        <f t="shared" si="54"/>
        <v>3500.0000000000005</v>
      </c>
      <c r="AZ52" s="32">
        <f t="shared" si="52"/>
        <v>-2658.9000000000005</v>
      </c>
      <c r="BA52" s="33">
        <f t="shared" si="53"/>
        <v>0.2403142857142857</v>
      </c>
    </row>
    <row r="53" spans="1:53" x14ac:dyDescent="0.3">
      <c r="A53" s="30" t="s">
        <v>131</v>
      </c>
      <c r="B53" s="31"/>
      <c r="C53" s="32">
        <f>458.33</f>
        <v>458.33</v>
      </c>
      <c r="D53" s="32">
        <f t="shared" si="27"/>
        <v>-458.33</v>
      </c>
      <c r="E53" s="33">
        <f t="shared" si="28"/>
        <v>0</v>
      </c>
      <c r="F53" s="31"/>
      <c r="G53" s="32">
        <f>458.33</f>
        <v>458.33</v>
      </c>
      <c r="H53" s="32">
        <f t="shared" si="29"/>
        <v>-458.33</v>
      </c>
      <c r="I53" s="33">
        <f t="shared" si="30"/>
        <v>0</v>
      </c>
      <c r="J53" s="31"/>
      <c r="K53" s="32">
        <f>458.33</f>
        <v>458.33</v>
      </c>
      <c r="L53" s="32">
        <f t="shared" si="31"/>
        <v>-458.33</v>
      </c>
      <c r="M53" s="33">
        <f t="shared" si="32"/>
        <v>0</v>
      </c>
      <c r="N53" s="31"/>
      <c r="O53" s="32">
        <f>458.33</f>
        <v>458.33</v>
      </c>
      <c r="P53" s="32">
        <f t="shared" si="33"/>
        <v>-458.33</v>
      </c>
      <c r="Q53" s="33">
        <f t="shared" si="34"/>
        <v>0</v>
      </c>
      <c r="R53" s="31"/>
      <c r="S53" s="32">
        <f>458.33</f>
        <v>458.33</v>
      </c>
      <c r="T53" s="32">
        <f t="shared" si="35"/>
        <v>-458.33</v>
      </c>
      <c r="U53" s="33">
        <f t="shared" si="36"/>
        <v>0</v>
      </c>
      <c r="V53" s="31"/>
      <c r="W53" s="32">
        <f>458.33</f>
        <v>458.33</v>
      </c>
      <c r="X53" s="32">
        <f t="shared" si="37"/>
        <v>-458.33</v>
      </c>
      <c r="Y53" s="33">
        <f t="shared" si="38"/>
        <v>0</v>
      </c>
      <c r="Z53" s="31"/>
      <c r="AA53" s="32">
        <f>458.33</f>
        <v>458.33</v>
      </c>
      <c r="AB53" s="32">
        <f t="shared" si="39"/>
        <v>-458.33</v>
      </c>
      <c r="AC53" s="33">
        <f t="shared" si="40"/>
        <v>0</v>
      </c>
      <c r="AD53" s="31"/>
      <c r="AE53" s="32">
        <f>458.33</f>
        <v>458.33</v>
      </c>
      <c r="AF53" s="32">
        <f t="shared" si="41"/>
        <v>-458.33</v>
      </c>
      <c r="AG53" s="33">
        <f t="shared" si="42"/>
        <v>0</v>
      </c>
      <c r="AH53" s="31"/>
      <c r="AI53" s="32">
        <f>458.33</f>
        <v>458.33</v>
      </c>
      <c r="AJ53" s="32">
        <f t="shared" si="43"/>
        <v>-458.33</v>
      </c>
      <c r="AK53" s="33">
        <f t="shared" si="44"/>
        <v>0</v>
      </c>
      <c r="AL53" s="31"/>
      <c r="AM53" s="32">
        <f>458.33</f>
        <v>458.33</v>
      </c>
      <c r="AN53" s="32">
        <f t="shared" si="45"/>
        <v>-458.33</v>
      </c>
      <c r="AO53" s="33">
        <f t="shared" si="46"/>
        <v>0</v>
      </c>
      <c r="AP53" s="31"/>
      <c r="AQ53" s="32">
        <f>458.33</f>
        <v>458.33</v>
      </c>
      <c r="AR53" s="32">
        <f t="shared" si="47"/>
        <v>-458.33</v>
      </c>
      <c r="AS53" s="33">
        <f t="shared" si="48"/>
        <v>0</v>
      </c>
      <c r="AT53" s="31"/>
      <c r="AU53" s="32">
        <f>458.37</f>
        <v>458.37</v>
      </c>
      <c r="AV53" s="32">
        <f t="shared" si="49"/>
        <v>-458.37</v>
      </c>
      <c r="AW53" s="33">
        <f t="shared" si="50"/>
        <v>0</v>
      </c>
      <c r="AX53" s="32">
        <f t="shared" si="54"/>
        <v>0</v>
      </c>
      <c r="AY53" s="32">
        <f t="shared" si="54"/>
        <v>5500</v>
      </c>
      <c r="AZ53" s="32">
        <f t="shared" si="52"/>
        <v>-5500</v>
      </c>
      <c r="BA53" s="33">
        <f t="shared" si="53"/>
        <v>0</v>
      </c>
    </row>
    <row r="54" spans="1:53" x14ac:dyDescent="0.3">
      <c r="A54" s="30" t="s">
        <v>132</v>
      </c>
      <c r="B54" s="31"/>
      <c r="C54" s="31"/>
      <c r="D54" s="32">
        <f t="shared" si="27"/>
        <v>0</v>
      </c>
      <c r="E54" s="33" t="str">
        <f t="shared" si="28"/>
        <v/>
      </c>
      <c r="F54" s="31"/>
      <c r="G54" s="31"/>
      <c r="H54" s="32">
        <f t="shared" si="29"/>
        <v>0</v>
      </c>
      <c r="I54" s="33" t="str">
        <f t="shared" si="30"/>
        <v/>
      </c>
      <c r="J54" s="31"/>
      <c r="K54" s="31"/>
      <c r="L54" s="32">
        <f t="shared" si="31"/>
        <v>0</v>
      </c>
      <c r="M54" s="33" t="str">
        <f t="shared" si="32"/>
        <v/>
      </c>
      <c r="N54" s="31"/>
      <c r="O54" s="31"/>
      <c r="P54" s="32">
        <f t="shared" si="33"/>
        <v>0</v>
      </c>
      <c r="Q54" s="33" t="str">
        <f t="shared" si="34"/>
        <v/>
      </c>
      <c r="R54" s="31"/>
      <c r="S54" s="31"/>
      <c r="T54" s="32">
        <f t="shared" si="35"/>
        <v>0</v>
      </c>
      <c r="U54" s="33" t="str">
        <f t="shared" si="36"/>
        <v/>
      </c>
      <c r="V54" s="31"/>
      <c r="W54" s="31"/>
      <c r="X54" s="32">
        <f t="shared" si="37"/>
        <v>0</v>
      </c>
      <c r="Y54" s="33" t="str">
        <f t="shared" si="38"/>
        <v/>
      </c>
      <c r="Z54" s="31"/>
      <c r="AA54" s="31"/>
      <c r="AB54" s="32">
        <f t="shared" si="39"/>
        <v>0</v>
      </c>
      <c r="AC54" s="33" t="str">
        <f t="shared" si="40"/>
        <v/>
      </c>
      <c r="AD54" s="31"/>
      <c r="AE54" s="31"/>
      <c r="AF54" s="32">
        <f t="shared" si="41"/>
        <v>0</v>
      </c>
      <c r="AG54" s="33" t="str">
        <f t="shared" si="42"/>
        <v/>
      </c>
      <c r="AH54" s="31"/>
      <c r="AI54" s="31"/>
      <c r="AJ54" s="32">
        <f t="shared" si="43"/>
        <v>0</v>
      </c>
      <c r="AK54" s="33" t="str">
        <f t="shared" si="44"/>
        <v/>
      </c>
      <c r="AL54" s="31"/>
      <c r="AM54" s="31"/>
      <c r="AN54" s="32">
        <f t="shared" si="45"/>
        <v>0</v>
      </c>
      <c r="AO54" s="33" t="str">
        <f t="shared" si="46"/>
        <v/>
      </c>
      <c r="AP54" s="31"/>
      <c r="AQ54" s="31"/>
      <c r="AR54" s="32">
        <f t="shared" si="47"/>
        <v>0</v>
      </c>
      <c r="AS54" s="33" t="str">
        <f t="shared" si="48"/>
        <v/>
      </c>
      <c r="AT54" s="31"/>
      <c r="AU54" s="31"/>
      <c r="AV54" s="32">
        <f t="shared" si="49"/>
        <v>0</v>
      </c>
      <c r="AW54" s="33" t="str">
        <f t="shared" si="50"/>
        <v/>
      </c>
      <c r="AX54" s="32">
        <f t="shared" si="54"/>
        <v>0</v>
      </c>
      <c r="AY54" s="32">
        <f t="shared" si="54"/>
        <v>0</v>
      </c>
      <c r="AZ54" s="32">
        <f t="shared" si="52"/>
        <v>0</v>
      </c>
      <c r="BA54" s="33" t="str">
        <f t="shared" si="53"/>
        <v/>
      </c>
    </row>
    <row r="55" spans="1:53" x14ac:dyDescent="0.3">
      <c r="A55" s="30" t="s">
        <v>87</v>
      </c>
      <c r="B55" s="32">
        <f>3000</f>
        <v>3000</v>
      </c>
      <c r="C55" s="32">
        <f>583.33</f>
        <v>583.33000000000004</v>
      </c>
      <c r="D55" s="32">
        <f t="shared" si="27"/>
        <v>2416.67</v>
      </c>
      <c r="E55" s="33">
        <f t="shared" si="28"/>
        <v>5.1428865307801752</v>
      </c>
      <c r="F55" s="31"/>
      <c r="G55" s="32">
        <f>583.33</f>
        <v>583.33000000000004</v>
      </c>
      <c r="H55" s="32">
        <f t="shared" si="29"/>
        <v>-583.33000000000004</v>
      </c>
      <c r="I55" s="33">
        <f t="shared" si="30"/>
        <v>0</v>
      </c>
      <c r="J55" s="31"/>
      <c r="K55" s="32">
        <f>583.33</f>
        <v>583.33000000000004</v>
      </c>
      <c r="L55" s="32">
        <f t="shared" si="31"/>
        <v>-583.33000000000004</v>
      </c>
      <c r="M55" s="33">
        <f t="shared" si="32"/>
        <v>0</v>
      </c>
      <c r="N55" s="31"/>
      <c r="O55" s="32">
        <f>583.33</f>
        <v>583.33000000000004</v>
      </c>
      <c r="P55" s="32">
        <f t="shared" si="33"/>
        <v>-583.33000000000004</v>
      </c>
      <c r="Q55" s="33">
        <f t="shared" si="34"/>
        <v>0</v>
      </c>
      <c r="R55" s="31"/>
      <c r="S55" s="32">
        <f>583.33</f>
        <v>583.33000000000004</v>
      </c>
      <c r="T55" s="32">
        <f t="shared" si="35"/>
        <v>-583.33000000000004</v>
      </c>
      <c r="U55" s="33">
        <f t="shared" si="36"/>
        <v>0</v>
      </c>
      <c r="V55" s="31"/>
      <c r="W55" s="32">
        <f>583.33</f>
        <v>583.33000000000004</v>
      </c>
      <c r="X55" s="32">
        <f t="shared" si="37"/>
        <v>-583.33000000000004</v>
      </c>
      <c r="Y55" s="33">
        <f t="shared" si="38"/>
        <v>0</v>
      </c>
      <c r="Z55" s="31"/>
      <c r="AA55" s="32">
        <f>583.33</f>
        <v>583.33000000000004</v>
      </c>
      <c r="AB55" s="32">
        <f t="shared" si="39"/>
        <v>-583.33000000000004</v>
      </c>
      <c r="AC55" s="33">
        <f t="shared" si="40"/>
        <v>0</v>
      </c>
      <c r="AD55" s="31"/>
      <c r="AE55" s="32">
        <f>583.33</f>
        <v>583.33000000000004</v>
      </c>
      <c r="AF55" s="32">
        <f t="shared" si="41"/>
        <v>-583.33000000000004</v>
      </c>
      <c r="AG55" s="33">
        <f t="shared" si="42"/>
        <v>0</v>
      </c>
      <c r="AH55" s="31"/>
      <c r="AI55" s="32">
        <f>583.33</f>
        <v>583.33000000000004</v>
      </c>
      <c r="AJ55" s="32">
        <f t="shared" si="43"/>
        <v>-583.33000000000004</v>
      </c>
      <c r="AK55" s="33">
        <f t="shared" si="44"/>
        <v>0</v>
      </c>
      <c r="AL55" s="31"/>
      <c r="AM55" s="32">
        <f>583.33</f>
        <v>583.33000000000004</v>
      </c>
      <c r="AN55" s="32">
        <f t="shared" si="45"/>
        <v>-583.33000000000004</v>
      </c>
      <c r="AO55" s="33">
        <f t="shared" si="46"/>
        <v>0</v>
      </c>
      <c r="AP55" s="31"/>
      <c r="AQ55" s="32">
        <f>583.33</f>
        <v>583.33000000000004</v>
      </c>
      <c r="AR55" s="32">
        <f t="shared" si="47"/>
        <v>-583.33000000000004</v>
      </c>
      <c r="AS55" s="33">
        <f t="shared" si="48"/>
        <v>0</v>
      </c>
      <c r="AT55" s="31"/>
      <c r="AU55" s="32">
        <f>583.37</f>
        <v>583.37</v>
      </c>
      <c r="AV55" s="32">
        <f t="shared" si="49"/>
        <v>-583.37</v>
      </c>
      <c r="AW55" s="33">
        <f t="shared" si="50"/>
        <v>0</v>
      </c>
      <c r="AX55" s="32">
        <f t="shared" si="54"/>
        <v>3000</v>
      </c>
      <c r="AY55" s="32">
        <f t="shared" si="54"/>
        <v>7000</v>
      </c>
      <c r="AZ55" s="32">
        <f t="shared" si="52"/>
        <v>-4000</v>
      </c>
      <c r="BA55" s="33">
        <f t="shared" si="53"/>
        <v>0.42857142857142855</v>
      </c>
    </row>
    <row r="56" spans="1:53" x14ac:dyDescent="0.3">
      <c r="A56" s="30" t="s">
        <v>88</v>
      </c>
      <c r="B56" s="32">
        <f>1256.8</f>
        <v>1256.8</v>
      </c>
      <c r="C56" s="32">
        <f>291.67</f>
        <v>291.67</v>
      </c>
      <c r="D56" s="32">
        <f t="shared" si="27"/>
        <v>965.12999999999988</v>
      </c>
      <c r="E56" s="33">
        <f t="shared" si="28"/>
        <v>4.3089793259505598</v>
      </c>
      <c r="F56" s="31"/>
      <c r="G56" s="32">
        <f>291.67</f>
        <v>291.67</v>
      </c>
      <c r="H56" s="32">
        <f t="shared" si="29"/>
        <v>-291.67</v>
      </c>
      <c r="I56" s="33">
        <f t="shared" si="30"/>
        <v>0</v>
      </c>
      <c r="J56" s="31"/>
      <c r="K56" s="32">
        <f>291.67</f>
        <v>291.67</v>
      </c>
      <c r="L56" s="32">
        <f t="shared" si="31"/>
        <v>-291.67</v>
      </c>
      <c r="M56" s="33">
        <f t="shared" si="32"/>
        <v>0</v>
      </c>
      <c r="N56" s="31"/>
      <c r="O56" s="32">
        <f>291.67</f>
        <v>291.67</v>
      </c>
      <c r="P56" s="32">
        <f t="shared" si="33"/>
        <v>-291.67</v>
      </c>
      <c r="Q56" s="33">
        <f t="shared" si="34"/>
        <v>0</v>
      </c>
      <c r="R56" s="31"/>
      <c r="S56" s="32">
        <f>291.67</f>
        <v>291.67</v>
      </c>
      <c r="T56" s="32">
        <f t="shared" si="35"/>
        <v>-291.67</v>
      </c>
      <c r="U56" s="33">
        <f t="shared" si="36"/>
        <v>0</v>
      </c>
      <c r="V56" s="31"/>
      <c r="W56" s="32">
        <f>291.67</f>
        <v>291.67</v>
      </c>
      <c r="X56" s="32">
        <f t="shared" si="37"/>
        <v>-291.67</v>
      </c>
      <c r="Y56" s="33">
        <f t="shared" si="38"/>
        <v>0</v>
      </c>
      <c r="Z56" s="31"/>
      <c r="AA56" s="32">
        <f>291.67</f>
        <v>291.67</v>
      </c>
      <c r="AB56" s="32">
        <f t="shared" si="39"/>
        <v>-291.67</v>
      </c>
      <c r="AC56" s="33">
        <f t="shared" si="40"/>
        <v>0</v>
      </c>
      <c r="AD56" s="31"/>
      <c r="AE56" s="32">
        <f>291.67</f>
        <v>291.67</v>
      </c>
      <c r="AF56" s="32">
        <f t="shared" si="41"/>
        <v>-291.67</v>
      </c>
      <c r="AG56" s="33">
        <f t="shared" si="42"/>
        <v>0</v>
      </c>
      <c r="AH56" s="31"/>
      <c r="AI56" s="32">
        <f>291.67</f>
        <v>291.67</v>
      </c>
      <c r="AJ56" s="32">
        <f t="shared" si="43"/>
        <v>-291.67</v>
      </c>
      <c r="AK56" s="33">
        <f t="shared" si="44"/>
        <v>0</v>
      </c>
      <c r="AL56" s="31"/>
      <c r="AM56" s="32">
        <f>291.67</f>
        <v>291.67</v>
      </c>
      <c r="AN56" s="32">
        <f t="shared" si="45"/>
        <v>-291.67</v>
      </c>
      <c r="AO56" s="33">
        <f t="shared" si="46"/>
        <v>0</v>
      </c>
      <c r="AP56" s="31"/>
      <c r="AQ56" s="32">
        <f>291.67</f>
        <v>291.67</v>
      </c>
      <c r="AR56" s="32">
        <f t="shared" si="47"/>
        <v>-291.67</v>
      </c>
      <c r="AS56" s="33">
        <f t="shared" si="48"/>
        <v>0</v>
      </c>
      <c r="AT56" s="31"/>
      <c r="AU56" s="32">
        <f>291.63</f>
        <v>291.63</v>
      </c>
      <c r="AV56" s="32">
        <f t="shared" si="49"/>
        <v>-291.63</v>
      </c>
      <c r="AW56" s="33">
        <f t="shared" si="50"/>
        <v>0</v>
      </c>
      <c r="AX56" s="32">
        <f t="shared" si="54"/>
        <v>1256.8</v>
      </c>
      <c r="AY56" s="32">
        <f t="shared" si="54"/>
        <v>3500.0000000000005</v>
      </c>
      <c r="AZ56" s="32">
        <f t="shared" si="52"/>
        <v>-2243.2000000000007</v>
      </c>
      <c r="BA56" s="33">
        <f t="shared" si="53"/>
        <v>0.35908571428571423</v>
      </c>
    </row>
    <row r="57" spans="1:53" x14ac:dyDescent="0.3">
      <c r="A57" s="30" t="s">
        <v>133</v>
      </c>
      <c r="B57" s="31"/>
      <c r="C57" s="31"/>
      <c r="D57" s="32">
        <f t="shared" si="27"/>
        <v>0</v>
      </c>
      <c r="E57" s="33" t="str">
        <f t="shared" si="28"/>
        <v/>
      </c>
      <c r="F57" s="32">
        <f>-18.68</f>
        <v>-18.68</v>
      </c>
      <c r="G57" s="31"/>
      <c r="H57" s="32">
        <f t="shared" si="29"/>
        <v>-18.68</v>
      </c>
      <c r="I57" s="33" t="str">
        <f t="shared" si="30"/>
        <v/>
      </c>
      <c r="J57" s="31"/>
      <c r="K57" s="31"/>
      <c r="L57" s="32">
        <f t="shared" si="31"/>
        <v>0</v>
      </c>
      <c r="M57" s="33" t="str">
        <f t="shared" si="32"/>
        <v/>
      </c>
      <c r="N57" s="31"/>
      <c r="O57" s="31"/>
      <c r="P57" s="32">
        <f t="shared" si="33"/>
        <v>0</v>
      </c>
      <c r="Q57" s="33" t="str">
        <f t="shared" si="34"/>
        <v/>
      </c>
      <c r="R57" s="31"/>
      <c r="S57" s="31"/>
      <c r="T57" s="32">
        <f t="shared" si="35"/>
        <v>0</v>
      </c>
      <c r="U57" s="33" t="str">
        <f t="shared" si="36"/>
        <v/>
      </c>
      <c r="V57" s="31"/>
      <c r="W57" s="31"/>
      <c r="X57" s="32">
        <f t="shared" si="37"/>
        <v>0</v>
      </c>
      <c r="Y57" s="33" t="str">
        <f t="shared" si="38"/>
        <v/>
      </c>
      <c r="Z57" s="31"/>
      <c r="AA57" s="31"/>
      <c r="AB57" s="32">
        <f t="shared" si="39"/>
        <v>0</v>
      </c>
      <c r="AC57" s="33" t="str">
        <f t="shared" si="40"/>
        <v/>
      </c>
      <c r="AD57" s="31"/>
      <c r="AE57" s="31"/>
      <c r="AF57" s="32">
        <f t="shared" si="41"/>
        <v>0</v>
      </c>
      <c r="AG57" s="33" t="str">
        <f t="shared" si="42"/>
        <v/>
      </c>
      <c r="AH57" s="31"/>
      <c r="AI57" s="31"/>
      <c r="AJ57" s="32">
        <f t="shared" si="43"/>
        <v>0</v>
      </c>
      <c r="AK57" s="33" t="str">
        <f t="shared" si="44"/>
        <v/>
      </c>
      <c r="AL57" s="31"/>
      <c r="AM57" s="31"/>
      <c r="AN57" s="32">
        <f t="shared" si="45"/>
        <v>0</v>
      </c>
      <c r="AO57" s="33" t="str">
        <f t="shared" si="46"/>
        <v/>
      </c>
      <c r="AP57" s="31"/>
      <c r="AQ57" s="31"/>
      <c r="AR57" s="32">
        <f t="shared" si="47"/>
        <v>0</v>
      </c>
      <c r="AS57" s="33" t="str">
        <f t="shared" si="48"/>
        <v/>
      </c>
      <c r="AT57" s="31"/>
      <c r="AU57" s="31"/>
      <c r="AV57" s="32">
        <f t="shared" si="49"/>
        <v>0</v>
      </c>
      <c r="AW57" s="33" t="str">
        <f t="shared" si="50"/>
        <v/>
      </c>
      <c r="AX57" s="32">
        <f t="shared" si="54"/>
        <v>-18.68</v>
      </c>
      <c r="AY57" s="32">
        <f t="shared" si="54"/>
        <v>0</v>
      </c>
      <c r="AZ57" s="32">
        <f t="shared" si="52"/>
        <v>-18.68</v>
      </c>
      <c r="BA57" s="33" t="str">
        <f t="shared" si="53"/>
        <v/>
      </c>
    </row>
    <row r="58" spans="1:53" x14ac:dyDescent="0.3">
      <c r="A58" s="30" t="s">
        <v>134</v>
      </c>
      <c r="B58" s="34">
        <f>(((B54)+(B55))+(B56))+(B57)</f>
        <v>4256.8</v>
      </c>
      <c r="C58" s="34">
        <f>(((C54)+(C55))+(C56))+(C57)</f>
        <v>875</v>
      </c>
      <c r="D58" s="34">
        <f t="shared" si="27"/>
        <v>3381.8</v>
      </c>
      <c r="E58" s="35">
        <f t="shared" si="28"/>
        <v>4.8649142857142857</v>
      </c>
      <c r="F58" s="34">
        <f>(((F54)+(F55))+(F56))+(F57)</f>
        <v>-18.68</v>
      </c>
      <c r="G58" s="34">
        <f>(((G54)+(G55))+(G56))+(G57)</f>
        <v>875</v>
      </c>
      <c r="H58" s="34">
        <f t="shared" si="29"/>
        <v>-893.68</v>
      </c>
      <c r="I58" s="35">
        <f t="shared" si="30"/>
        <v>-2.1348571428571429E-2</v>
      </c>
      <c r="J58" s="34">
        <f>(((J54)+(J55))+(J56))+(J57)</f>
        <v>0</v>
      </c>
      <c r="K58" s="34">
        <f>(((K54)+(K55))+(K56))+(K57)</f>
        <v>875</v>
      </c>
      <c r="L58" s="34">
        <f t="shared" si="31"/>
        <v>-875</v>
      </c>
      <c r="M58" s="35">
        <f t="shared" si="32"/>
        <v>0</v>
      </c>
      <c r="N58" s="34">
        <f>(((N54)+(N55))+(N56))+(N57)</f>
        <v>0</v>
      </c>
      <c r="O58" s="34">
        <f>(((O54)+(O55))+(O56))+(O57)</f>
        <v>875</v>
      </c>
      <c r="P58" s="34">
        <f t="shared" si="33"/>
        <v>-875</v>
      </c>
      <c r="Q58" s="35">
        <f t="shared" si="34"/>
        <v>0</v>
      </c>
      <c r="R58" s="34">
        <f>(((R54)+(R55))+(R56))+(R57)</f>
        <v>0</v>
      </c>
      <c r="S58" s="34">
        <f>(((S54)+(S55))+(S56))+(S57)</f>
        <v>875</v>
      </c>
      <c r="T58" s="34">
        <f t="shared" si="35"/>
        <v>-875</v>
      </c>
      <c r="U58" s="35">
        <f t="shared" si="36"/>
        <v>0</v>
      </c>
      <c r="V58" s="34">
        <f>(((V54)+(V55))+(V56))+(V57)</f>
        <v>0</v>
      </c>
      <c r="W58" s="34">
        <f>(((W54)+(W55))+(W56))+(W57)</f>
        <v>875</v>
      </c>
      <c r="X58" s="34">
        <f t="shared" si="37"/>
        <v>-875</v>
      </c>
      <c r="Y58" s="35">
        <f t="shared" si="38"/>
        <v>0</v>
      </c>
      <c r="Z58" s="34">
        <f>(((Z54)+(Z55))+(Z56))+(Z57)</f>
        <v>0</v>
      </c>
      <c r="AA58" s="34">
        <f>(((AA54)+(AA55))+(AA56))+(AA57)</f>
        <v>875</v>
      </c>
      <c r="AB58" s="34">
        <f t="shared" si="39"/>
        <v>-875</v>
      </c>
      <c r="AC58" s="35">
        <f t="shared" si="40"/>
        <v>0</v>
      </c>
      <c r="AD58" s="34">
        <f>(((AD54)+(AD55))+(AD56))+(AD57)</f>
        <v>0</v>
      </c>
      <c r="AE58" s="34">
        <f>(((AE54)+(AE55))+(AE56))+(AE57)</f>
        <v>875</v>
      </c>
      <c r="AF58" s="34">
        <f t="shared" si="41"/>
        <v>-875</v>
      </c>
      <c r="AG58" s="35">
        <f t="shared" si="42"/>
        <v>0</v>
      </c>
      <c r="AH58" s="34">
        <f>(((AH54)+(AH55))+(AH56))+(AH57)</f>
        <v>0</v>
      </c>
      <c r="AI58" s="34">
        <f>(((AI54)+(AI55))+(AI56))+(AI57)</f>
        <v>875</v>
      </c>
      <c r="AJ58" s="34">
        <f t="shared" si="43"/>
        <v>-875</v>
      </c>
      <c r="AK58" s="35">
        <f t="shared" si="44"/>
        <v>0</v>
      </c>
      <c r="AL58" s="34">
        <f>(((AL54)+(AL55))+(AL56))+(AL57)</f>
        <v>0</v>
      </c>
      <c r="AM58" s="34">
        <f>(((AM54)+(AM55))+(AM56))+(AM57)</f>
        <v>875</v>
      </c>
      <c r="AN58" s="34">
        <f t="shared" si="45"/>
        <v>-875</v>
      </c>
      <c r="AO58" s="35">
        <f t="shared" si="46"/>
        <v>0</v>
      </c>
      <c r="AP58" s="34">
        <f>(((AP54)+(AP55))+(AP56))+(AP57)</f>
        <v>0</v>
      </c>
      <c r="AQ58" s="34">
        <f>(((AQ54)+(AQ55))+(AQ56))+(AQ57)</f>
        <v>875</v>
      </c>
      <c r="AR58" s="34">
        <f t="shared" si="47"/>
        <v>-875</v>
      </c>
      <c r="AS58" s="35">
        <f t="shared" si="48"/>
        <v>0</v>
      </c>
      <c r="AT58" s="34">
        <f>(((AT54)+(AT55))+(AT56))+(AT57)</f>
        <v>0</v>
      </c>
      <c r="AU58" s="34">
        <f>(((AU54)+(AU55))+(AU56))+(AU57)</f>
        <v>875</v>
      </c>
      <c r="AV58" s="34">
        <f t="shared" si="49"/>
        <v>-875</v>
      </c>
      <c r="AW58" s="35">
        <f t="shared" si="50"/>
        <v>0</v>
      </c>
      <c r="AX58" s="34">
        <f t="shared" si="54"/>
        <v>4238.12</v>
      </c>
      <c r="AY58" s="34">
        <f t="shared" si="54"/>
        <v>10500</v>
      </c>
      <c r="AZ58" s="34">
        <f t="shared" si="52"/>
        <v>-6261.88</v>
      </c>
      <c r="BA58" s="35">
        <f t="shared" si="53"/>
        <v>0.40363047619047621</v>
      </c>
    </row>
    <row r="59" spans="1:53" x14ac:dyDescent="0.3">
      <c r="A59" s="30" t="s">
        <v>135</v>
      </c>
      <c r="B59" s="31"/>
      <c r="C59" s="32">
        <f>416.67</f>
        <v>416.67</v>
      </c>
      <c r="D59" s="32">
        <f t="shared" si="27"/>
        <v>-416.67</v>
      </c>
      <c r="E59" s="33">
        <f t="shared" si="28"/>
        <v>0</v>
      </c>
      <c r="F59" s="31"/>
      <c r="G59" s="32">
        <f>416.67</f>
        <v>416.67</v>
      </c>
      <c r="H59" s="32">
        <f t="shared" si="29"/>
        <v>-416.67</v>
      </c>
      <c r="I59" s="33">
        <f t="shared" si="30"/>
        <v>0</v>
      </c>
      <c r="J59" s="31"/>
      <c r="K59" s="32">
        <f>416.67</f>
        <v>416.67</v>
      </c>
      <c r="L59" s="32">
        <f t="shared" si="31"/>
        <v>-416.67</v>
      </c>
      <c r="M59" s="33">
        <f t="shared" si="32"/>
        <v>0</v>
      </c>
      <c r="N59" s="31"/>
      <c r="O59" s="32">
        <f>416.67</f>
        <v>416.67</v>
      </c>
      <c r="P59" s="32">
        <f t="shared" si="33"/>
        <v>-416.67</v>
      </c>
      <c r="Q59" s="33">
        <f t="shared" si="34"/>
        <v>0</v>
      </c>
      <c r="R59" s="31"/>
      <c r="S59" s="32">
        <f>416.67</f>
        <v>416.67</v>
      </c>
      <c r="T59" s="32">
        <f t="shared" si="35"/>
        <v>-416.67</v>
      </c>
      <c r="U59" s="33">
        <f t="shared" si="36"/>
        <v>0</v>
      </c>
      <c r="V59" s="31"/>
      <c r="W59" s="32">
        <f>416.67</f>
        <v>416.67</v>
      </c>
      <c r="X59" s="32">
        <f t="shared" si="37"/>
        <v>-416.67</v>
      </c>
      <c r="Y59" s="33">
        <f t="shared" si="38"/>
        <v>0</v>
      </c>
      <c r="Z59" s="31"/>
      <c r="AA59" s="32">
        <f>416.67</f>
        <v>416.67</v>
      </c>
      <c r="AB59" s="32">
        <f t="shared" si="39"/>
        <v>-416.67</v>
      </c>
      <c r="AC59" s="33">
        <f t="shared" si="40"/>
        <v>0</v>
      </c>
      <c r="AD59" s="31"/>
      <c r="AE59" s="32">
        <f>416.67</f>
        <v>416.67</v>
      </c>
      <c r="AF59" s="32">
        <f t="shared" si="41"/>
        <v>-416.67</v>
      </c>
      <c r="AG59" s="33">
        <f t="shared" si="42"/>
        <v>0</v>
      </c>
      <c r="AH59" s="31"/>
      <c r="AI59" s="32">
        <f>416.67</f>
        <v>416.67</v>
      </c>
      <c r="AJ59" s="32">
        <f t="shared" si="43"/>
        <v>-416.67</v>
      </c>
      <c r="AK59" s="33">
        <f t="shared" si="44"/>
        <v>0</v>
      </c>
      <c r="AL59" s="31"/>
      <c r="AM59" s="32">
        <f>416.67</f>
        <v>416.67</v>
      </c>
      <c r="AN59" s="32">
        <f t="shared" si="45"/>
        <v>-416.67</v>
      </c>
      <c r="AO59" s="33">
        <f t="shared" si="46"/>
        <v>0</v>
      </c>
      <c r="AP59" s="31"/>
      <c r="AQ59" s="32">
        <f>416.67</f>
        <v>416.67</v>
      </c>
      <c r="AR59" s="32">
        <f t="shared" si="47"/>
        <v>-416.67</v>
      </c>
      <c r="AS59" s="33">
        <f t="shared" si="48"/>
        <v>0</v>
      </c>
      <c r="AT59" s="31"/>
      <c r="AU59" s="32">
        <f>416.63</f>
        <v>416.63</v>
      </c>
      <c r="AV59" s="32">
        <f t="shared" si="49"/>
        <v>-416.63</v>
      </c>
      <c r="AW59" s="33">
        <f t="shared" si="50"/>
        <v>0</v>
      </c>
      <c r="AX59" s="32">
        <f t="shared" si="54"/>
        <v>0</v>
      </c>
      <c r="AY59" s="32">
        <f t="shared" si="54"/>
        <v>5000</v>
      </c>
      <c r="AZ59" s="32">
        <f t="shared" si="52"/>
        <v>-5000</v>
      </c>
      <c r="BA59" s="33">
        <f t="shared" si="53"/>
        <v>0</v>
      </c>
    </row>
    <row r="60" spans="1:53" x14ac:dyDescent="0.3">
      <c r="A60" s="30" t="s">
        <v>136</v>
      </c>
      <c r="B60" s="32">
        <f>23.99</f>
        <v>23.99</v>
      </c>
      <c r="C60" s="32">
        <f>125</f>
        <v>125</v>
      </c>
      <c r="D60" s="32">
        <f t="shared" si="27"/>
        <v>-101.01</v>
      </c>
      <c r="E60" s="33">
        <f t="shared" si="28"/>
        <v>0.19191999999999998</v>
      </c>
      <c r="F60" s="32">
        <f>425.86</f>
        <v>425.86</v>
      </c>
      <c r="G60" s="32">
        <f>125</f>
        <v>125</v>
      </c>
      <c r="H60" s="32">
        <f t="shared" si="29"/>
        <v>300.86</v>
      </c>
      <c r="I60" s="33">
        <f t="shared" si="30"/>
        <v>3.4068800000000001</v>
      </c>
      <c r="J60" s="32">
        <f>27.5</f>
        <v>27.5</v>
      </c>
      <c r="K60" s="32">
        <f>125</f>
        <v>125</v>
      </c>
      <c r="L60" s="32">
        <f t="shared" si="31"/>
        <v>-97.5</v>
      </c>
      <c r="M60" s="33">
        <f t="shared" si="32"/>
        <v>0.22</v>
      </c>
      <c r="N60" s="31"/>
      <c r="O60" s="32">
        <f>125</f>
        <v>125</v>
      </c>
      <c r="P60" s="32">
        <f t="shared" si="33"/>
        <v>-125</v>
      </c>
      <c r="Q60" s="33">
        <f t="shared" si="34"/>
        <v>0</v>
      </c>
      <c r="R60" s="31"/>
      <c r="S60" s="32">
        <f>125</f>
        <v>125</v>
      </c>
      <c r="T60" s="32">
        <f t="shared" si="35"/>
        <v>-125</v>
      </c>
      <c r="U60" s="33">
        <f t="shared" si="36"/>
        <v>0</v>
      </c>
      <c r="V60" s="31"/>
      <c r="W60" s="32">
        <f>125</f>
        <v>125</v>
      </c>
      <c r="X60" s="32">
        <f t="shared" si="37"/>
        <v>-125</v>
      </c>
      <c r="Y60" s="33">
        <f t="shared" si="38"/>
        <v>0</v>
      </c>
      <c r="Z60" s="31"/>
      <c r="AA60" s="32">
        <f>125</f>
        <v>125</v>
      </c>
      <c r="AB60" s="32">
        <f t="shared" si="39"/>
        <v>-125</v>
      </c>
      <c r="AC60" s="33">
        <f t="shared" si="40"/>
        <v>0</v>
      </c>
      <c r="AD60" s="31"/>
      <c r="AE60" s="32">
        <f>125</f>
        <v>125</v>
      </c>
      <c r="AF60" s="32">
        <f t="shared" si="41"/>
        <v>-125</v>
      </c>
      <c r="AG60" s="33">
        <f t="shared" si="42"/>
        <v>0</v>
      </c>
      <c r="AH60" s="31"/>
      <c r="AI60" s="32">
        <f>125</f>
        <v>125</v>
      </c>
      <c r="AJ60" s="32">
        <f t="shared" si="43"/>
        <v>-125</v>
      </c>
      <c r="AK60" s="33">
        <f t="shared" si="44"/>
        <v>0</v>
      </c>
      <c r="AL60" s="31"/>
      <c r="AM60" s="32">
        <f>125</f>
        <v>125</v>
      </c>
      <c r="AN60" s="32">
        <f t="shared" si="45"/>
        <v>-125</v>
      </c>
      <c r="AO60" s="33">
        <f t="shared" si="46"/>
        <v>0</v>
      </c>
      <c r="AP60" s="31"/>
      <c r="AQ60" s="32">
        <f>125</f>
        <v>125</v>
      </c>
      <c r="AR60" s="32">
        <f t="shared" si="47"/>
        <v>-125</v>
      </c>
      <c r="AS60" s="33">
        <f t="shared" si="48"/>
        <v>0</v>
      </c>
      <c r="AT60" s="31"/>
      <c r="AU60" s="32">
        <f>125</f>
        <v>125</v>
      </c>
      <c r="AV60" s="32">
        <f t="shared" si="49"/>
        <v>-125</v>
      </c>
      <c r="AW60" s="33">
        <f t="shared" si="50"/>
        <v>0</v>
      </c>
      <c r="AX60" s="32">
        <f t="shared" si="54"/>
        <v>477.35</v>
      </c>
      <c r="AY60" s="32">
        <f t="shared" si="54"/>
        <v>1500</v>
      </c>
      <c r="AZ60" s="32">
        <f t="shared" si="52"/>
        <v>-1022.65</v>
      </c>
      <c r="BA60" s="33">
        <f t="shared" si="53"/>
        <v>0.31823333333333337</v>
      </c>
    </row>
    <row r="61" spans="1:53" x14ac:dyDescent="0.3">
      <c r="A61" s="30" t="s">
        <v>137</v>
      </c>
      <c r="B61" s="32">
        <f>15</f>
        <v>15</v>
      </c>
      <c r="C61" s="32">
        <f>25</f>
        <v>25</v>
      </c>
      <c r="D61" s="32">
        <f t="shared" si="27"/>
        <v>-10</v>
      </c>
      <c r="E61" s="33">
        <f t="shared" si="28"/>
        <v>0.6</v>
      </c>
      <c r="F61" s="31"/>
      <c r="G61" s="32">
        <f>25</f>
        <v>25</v>
      </c>
      <c r="H61" s="32">
        <f t="shared" si="29"/>
        <v>-25</v>
      </c>
      <c r="I61" s="33">
        <f t="shared" si="30"/>
        <v>0</v>
      </c>
      <c r="J61" s="31"/>
      <c r="K61" s="32">
        <f>25</f>
        <v>25</v>
      </c>
      <c r="L61" s="32">
        <f t="shared" si="31"/>
        <v>-25</v>
      </c>
      <c r="M61" s="33">
        <f t="shared" si="32"/>
        <v>0</v>
      </c>
      <c r="N61" s="31"/>
      <c r="O61" s="32">
        <f>25</f>
        <v>25</v>
      </c>
      <c r="P61" s="32">
        <f t="shared" si="33"/>
        <v>-25</v>
      </c>
      <c r="Q61" s="33">
        <f t="shared" si="34"/>
        <v>0</v>
      </c>
      <c r="R61" s="31"/>
      <c r="S61" s="32">
        <f>25</f>
        <v>25</v>
      </c>
      <c r="T61" s="32">
        <f t="shared" si="35"/>
        <v>-25</v>
      </c>
      <c r="U61" s="33">
        <f t="shared" si="36"/>
        <v>0</v>
      </c>
      <c r="V61" s="31"/>
      <c r="W61" s="32">
        <f>25</f>
        <v>25</v>
      </c>
      <c r="X61" s="32">
        <f t="shared" si="37"/>
        <v>-25</v>
      </c>
      <c r="Y61" s="33">
        <f t="shared" si="38"/>
        <v>0</v>
      </c>
      <c r="Z61" s="31"/>
      <c r="AA61" s="32">
        <f>25</f>
        <v>25</v>
      </c>
      <c r="AB61" s="32">
        <f t="shared" si="39"/>
        <v>-25</v>
      </c>
      <c r="AC61" s="33">
        <f t="shared" si="40"/>
        <v>0</v>
      </c>
      <c r="AD61" s="31"/>
      <c r="AE61" s="32">
        <f>25</f>
        <v>25</v>
      </c>
      <c r="AF61" s="32">
        <f t="shared" si="41"/>
        <v>-25</v>
      </c>
      <c r="AG61" s="33">
        <f t="shared" si="42"/>
        <v>0</v>
      </c>
      <c r="AH61" s="31"/>
      <c r="AI61" s="32">
        <f>25</f>
        <v>25</v>
      </c>
      <c r="AJ61" s="32">
        <f t="shared" si="43"/>
        <v>-25</v>
      </c>
      <c r="AK61" s="33">
        <f t="shared" si="44"/>
        <v>0</v>
      </c>
      <c r="AL61" s="31"/>
      <c r="AM61" s="32">
        <f>25</f>
        <v>25</v>
      </c>
      <c r="AN61" s="32">
        <f t="shared" si="45"/>
        <v>-25</v>
      </c>
      <c r="AO61" s="33">
        <f t="shared" si="46"/>
        <v>0</v>
      </c>
      <c r="AP61" s="31"/>
      <c r="AQ61" s="32">
        <f>25</f>
        <v>25</v>
      </c>
      <c r="AR61" s="32">
        <f t="shared" si="47"/>
        <v>-25</v>
      </c>
      <c r="AS61" s="33">
        <f t="shared" si="48"/>
        <v>0</v>
      </c>
      <c r="AT61" s="31"/>
      <c r="AU61" s="32">
        <f>25</f>
        <v>25</v>
      </c>
      <c r="AV61" s="32">
        <f t="shared" si="49"/>
        <v>-25</v>
      </c>
      <c r="AW61" s="33">
        <f t="shared" si="50"/>
        <v>0</v>
      </c>
      <c r="AX61" s="32">
        <f t="shared" si="54"/>
        <v>15</v>
      </c>
      <c r="AY61" s="32">
        <f t="shared" si="54"/>
        <v>300</v>
      </c>
      <c r="AZ61" s="32">
        <f t="shared" si="52"/>
        <v>-285</v>
      </c>
      <c r="BA61" s="33">
        <f t="shared" si="53"/>
        <v>0.05</v>
      </c>
    </row>
    <row r="62" spans="1:53" x14ac:dyDescent="0.3">
      <c r="A62" s="30" t="s">
        <v>138</v>
      </c>
      <c r="B62" s="31"/>
      <c r="C62" s="31"/>
      <c r="D62" s="32">
        <f t="shared" si="27"/>
        <v>0</v>
      </c>
      <c r="E62" s="33" t="str">
        <f t="shared" si="28"/>
        <v/>
      </c>
      <c r="F62" s="31"/>
      <c r="G62" s="31"/>
      <c r="H62" s="32">
        <f t="shared" si="29"/>
        <v>0</v>
      </c>
      <c r="I62" s="33" t="str">
        <f t="shared" si="30"/>
        <v/>
      </c>
      <c r="J62" s="31"/>
      <c r="K62" s="31"/>
      <c r="L62" s="32">
        <f t="shared" si="31"/>
        <v>0</v>
      </c>
      <c r="M62" s="33" t="str">
        <f t="shared" si="32"/>
        <v/>
      </c>
      <c r="N62" s="31"/>
      <c r="O62" s="31"/>
      <c r="P62" s="32">
        <f t="shared" si="33"/>
        <v>0</v>
      </c>
      <c r="Q62" s="33" t="str">
        <f t="shared" si="34"/>
        <v/>
      </c>
      <c r="R62" s="31"/>
      <c r="S62" s="31"/>
      <c r="T62" s="32">
        <f t="shared" si="35"/>
        <v>0</v>
      </c>
      <c r="U62" s="33" t="str">
        <f t="shared" si="36"/>
        <v/>
      </c>
      <c r="V62" s="31"/>
      <c r="W62" s="31"/>
      <c r="X62" s="32">
        <f t="shared" si="37"/>
        <v>0</v>
      </c>
      <c r="Y62" s="33" t="str">
        <f t="shared" si="38"/>
        <v/>
      </c>
      <c r="Z62" s="31"/>
      <c r="AA62" s="31"/>
      <c r="AB62" s="32">
        <f t="shared" si="39"/>
        <v>0</v>
      </c>
      <c r="AC62" s="33" t="str">
        <f t="shared" si="40"/>
        <v/>
      </c>
      <c r="AD62" s="31"/>
      <c r="AE62" s="31"/>
      <c r="AF62" s="32">
        <f t="shared" si="41"/>
        <v>0</v>
      </c>
      <c r="AG62" s="33" t="str">
        <f t="shared" si="42"/>
        <v/>
      </c>
      <c r="AH62" s="31"/>
      <c r="AI62" s="31"/>
      <c r="AJ62" s="32">
        <f t="shared" si="43"/>
        <v>0</v>
      </c>
      <c r="AK62" s="33" t="str">
        <f t="shared" si="44"/>
        <v/>
      </c>
      <c r="AL62" s="31"/>
      <c r="AM62" s="31"/>
      <c r="AN62" s="32">
        <f t="shared" si="45"/>
        <v>0</v>
      </c>
      <c r="AO62" s="33" t="str">
        <f t="shared" si="46"/>
        <v/>
      </c>
      <c r="AP62" s="31"/>
      <c r="AQ62" s="31"/>
      <c r="AR62" s="32">
        <f t="shared" si="47"/>
        <v>0</v>
      </c>
      <c r="AS62" s="33" t="str">
        <f t="shared" si="48"/>
        <v/>
      </c>
      <c r="AT62" s="31"/>
      <c r="AU62" s="31"/>
      <c r="AV62" s="32">
        <f t="shared" si="49"/>
        <v>0</v>
      </c>
      <c r="AW62" s="33" t="str">
        <f t="shared" si="50"/>
        <v/>
      </c>
      <c r="AX62" s="32">
        <f t="shared" si="54"/>
        <v>0</v>
      </c>
      <c r="AY62" s="32">
        <f t="shared" si="54"/>
        <v>0</v>
      </c>
      <c r="AZ62" s="32">
        <f t="shared" si="52"/>
        <v>0</v>
      </c>
      <c r="BA62" s="33" t="str">
        <f t="shared" si="53"/>
        <v/>
      </c>
    </row>
    <row r="63" spans="1:53" x14ac:dyDescent="0.3">
      <c r="A63" s="30" t="s">
        <v>139</v>
      </c>
      <c r="B63" s="31"/>
      <c r="C63" s="32">
        <f>125</f>
        <v>125</v>
      </c>
      <c r="D63" s="32">
        <f t="shared" si="27"/>
        <v>-125</v>
      </c>
      <c r="E63" s="33">
        <f t="shared" si="28"/>
        <v>0</v>
      </c>
      <c r="F63" s="31"/>
      <c r="G63" s="32">
        <f>125</f>
        <v>125</v>
      </c>
      <c r="H63" s="32">
        <f t="shared" si="29"/>
        <v>-125</v>
      </c>
      <c r="I63" s="33">
        <f t="shared" si="30"/>
        <v>0</v>
      </c>
      <c r="J63" s="31"/>
      <c r="K63" s="32">
        <f>125</f>
        <v>125</v>
      </c>
      <c r="L63" s="32">
        <f t="shared" si="31"/>
        <v>-125</v>
      </c>
      <c r="M63" s="33">
        <f t="shared" si="32"/>
        <v>0</v>
      </c>
      <c r="N63" s="31"/>
      <c r="O63" s="32">
        <f>125</f>
        <v>125</v>
      </c>
      <c r="P63" s="32">
        <f t="shared" si="33"/>
        <v>-125</v>
      </c>
      <c r="Q63" s="33">
        <f t="shared" si="34"/>
        <v>0</v>
      </c>
      <c r="R63" s="31"/>
      <c r="S63" s="32">
        <f>125</f>
        <v>125</v>
      </c>
      <c r="T63" s="32">
        <f t="shared" si="35"/>
        <v>-125</v>
      </c>
      <c r="U63" s="33">
        <f t="shared" si="36"/>
        <v>0</v>
      </c>
      <c r="V63" s="31"/>
      <c r="W63" s="32">
        <f>125</f>
        <v>125</v>
      </c>
      <c r="X63" s="32">
        <f t="shared" si="37"/>
        <v>-125</v>
      </c>
      <c r="Y63" s="33">
        <f t="shared" si="38"/>
        <v>0</v>
      </c>
      <c r="Z63" s="31"/>
      <c r="AA63" s="32">
        <f>125</f>
        <v>125</v>
      </c>
      <c r="AB63" s="32">
        <f t="shared" si="39"/>
        <v>-125</v>
      </c>
      <c r="AC63" s="33">
        <f t="shared" si="40"/>
        <v>0</v>
      </c>
      <c r="AD63" s="31"/>
      <c r="AE63" s="32">
        <f>125</f>
        <v>125</v>
      </c>
      <c r="AF63" s="32">
        <f t="shared" si="41"/>
        <v>-125</v>
      </c>
      <c r="AG63" s="33">
        <f t="shared" si="42"/>
        <v>0</v>
      </c>
      <c r="AH63" s="31"/>
      <c r="AI63" s="32">
        <f>125</f>
        <v>125</v>
      </c>
      <c r="AJ63" s="32">
        <f t="shared" si="43"/>
        <v>-125</v>
      </c>
      <c r="AK63" s="33">
        <f t="shared" si="44"/>
        <v>0</v>
      </c>
      <c r="AL63" s="31"/>
      <c r="AM63" s="32">
        <f>125</f>
        <v>125</v>
      </c>
      <c r="AN63" s="32">
        <f t="shared" si="45"/>
        <v>-125</v>
      </c>
      <c r="AO63" s="33">
        <f t="shared" si="46"/>
        <v>0</v>
      </c>
      <c r="AP63" s="31"/>
      <c r="AQ63" s="32">
        <f>125</f>
        <v>125</v>
      </c>
      <c r="AR63" s="32">
        <f t="shared" si="47"/>
        <v>-125</v>
      </c>
      <c r="AS63" s="33">
        <f t="shared" si="48"/>
        <v>0</v>
      </c>
      <c r="AT63" s="31"/>
      <c r="AU63" s="32">
        <f>125</f>
        <v>125</v>
      </c>
      <c r="AV63" s="32">
        <f t="shared" si="49"/>
        <v>-125</v>
      </c>
      <c r="AW63" s="33">
        <f t="shared" si="50"/>
        <v>0</v>
      </c>
      <c r="AX63" s="32">
        <f t="shared" si="54"/>
        <v>0</v>
      </c>
      <c r="AY63" s="32">
        <f t="shared" si="54"/>
        <v>1500</v>
      </c>
      <c r="AZ63" s="32">
        <f t="shared" si="52"/>
        <v>-1500</v>
      </c>
      <c r="BA63" s="33">
        <f t="shared" si="53"/>
        <v>0</v>
      </c>
    </row>
    <row r="64" spans="1:53" x14ac:dyDescent="0.3">
      <c r="A64" s="30" t="s">
        <v>140</v>
      </c>
      <c r="B64" s="31"/>
      <c r="C64" s="32">
        <f>833.33</f>
        <v>833.33</v>
      </c>
      <c r="D64" s="32">
        <f t="shared" si="27"/>
        <v>-833.33</v>
      </c>
      <c r="E64" s="33">
        <f t="shared" si="28"/>
        <v>0</v>
      </c>
      <c r="F64" s="32">
        <f>695</f>
        <v>695</v>
      </c>
      <c r="G64" s="32">
        <f>833.33</f>
        <v>833.33</v>
      </c>
      <c r="H64" s="32">
        <f t="shared" si="29"/>
        <v>-138.33000000000004</v>
      </c>
      <c r="I64" s="33">
        <f t="shared" si="30"/>
        <v>0.83400333601334398</v>
      </c>
      <c r="J64" s="32">
        <f>1390</f>
        <v>1390</v>
      </c>
      <c r="K64" s="32">
        <f>833.33</f>
        <v>833.33</v>
      </c>
      <c r="L64" s="32">
        <f t="shared" si="31"/>
        <v>556.66999999999996</v>
      </c>
      <c r="M64" s="33">
        <f t="shared" si="32"/>
        <v>1.668006672026688</v>
      </c>
      <c r="N64" s="31"/>
      <c r="O64" s="32">
        <f>833.33</f>
        <v>833.33</v>
      </c>
      <c r="P64" s="32">
        <f t="shared" si="33"/>
        <v>-833.33</v>
      </c>
      <c r="Q64" s="33">
        <f t="shared" si="34"/>
        <v>0</v>
      </c>
      <c r="R64" s="31"/>
      <c r="S64" s="32">
        <f>833.33</f>
        <v>833.33</v>
      </c>
      <c r="T64" s="32">
        <f t="shared" si="35"/>
        <v>-833.33</v>
      </c>
      <c r="U64" s="33">
        <f t="shared" si="36"/>
        <v>0</v>
      </c>
      <c r="V64" s="31"/>
      <c r="W64" s="32">
        <f>833.33</f>
        <v>833.33</v>
      </c>
      <c r="X64" s="32">
        <f t="shared" si="37"/>
        <v>-833.33</v>
      </c>
      <c r="Y64" s="33">
        <f t="shared" si="38"/>
        <v>0</v>
      </c>
      <c r="Z64" s="31"/>
      <c r="AA64" s="32">
        <f>833.33</f>
        <v>833.33</v>
      </c>
      <c r="AB64" s="32">
        <f t="shared" si="39"/>
        <v>-833.33</v>
      </c>
      <c r="AC64" s="33">
        <f t="shared" si="40"/>
        <v>0</v>
      </c>
      <c r="AD64" s="31"/>
      <c r="AE64" s="32">
        <f>833.33</f>
        <v>833.33</v>
      </c>
      <c r="AF64" s="32">
        <f t="shared" si="41"/>
        <v>-833.33</v>
      </c>
      <c r="AG64" s="33">
        <f t="shared" si="42"/>
        <v>0</v>
      </c>
      <c r="AH64" s="31"/>
      <c r="AI64" s="32">
        <f>833.33</f>
        <v>833.33</v>
      </c>
      <c r="AJ64" s="32">
        <f t="shared" si="43"/>
        <v>-833.33</v>
      </c>
      <c r="AK64" s="33">
        <f t="shared" si="44"/>
        <v>0</v>
      </c>
      <c r="AL64" s="31"/>
      <c r="AM64" s="32">
        <f>833.33</f>
        <v>833.33</v>
      </c>
      <c r="AN64" s="32">
        <f t="shared" si="45"/>
        <v>-833.33</v>
      </c>
      <c r="AO64" s="33">
        <f t="shared" si="46"/>
        <v>0</v>
      </c>
      <c r="AP64" s="31"/>
      <c r="AQ64" s="32">
        <f>833.33</f>
        <v>833.33</v>
      </c>
      <c r="AR64" s="32">
        <f t="shared" si="47"/>
        <v>-833.33</v>
      </c>
      <c r="AS64" s="33">
        <f t="shared" si="48"/>
        <v>0</v>
      </c>
      <c r="AT64" s="31"/>
      <c r="AU64" s="32">
        <f>833.37</f>
        <v>833.37</v>
      </c>
      <c r="AV64" s="32">
        <f t="shared" si="49"/>
        <v>-833.37</v>
      </c>
      <c r="AW64" s="33">
        <f t="shared" si="50"/>
        <v>0</v>
      </c>
      <c r="AX64" s="32">
        <f t="shared" si="54"/>
        <v>2085</v>
      </c>
      <c r="AY64" s="32">
        <f t="shared" si="54"/>
        <v>10000.000000000002</v>
      </c>
      <c r="AZ64" s="32">
        <f t="shared" si="52"/>
        <v>-7915.0000000000018</v>
      </c>
      <c r="BA64" s="33">
        <f t="shared" si="53"/>
        <v>0.20849999999999996</v>
      </c>
    </row>
    <row r="65" spans="1:53" x14ac:dyDescent="0.3">
      <c r="A65" s="30" t="s">
        <v>141</v>
      </c>
      <c r="B65" s="32">
        <f>2197.8</f>
        <v>2197.8000000000002</v>
      </c>
      <c r="C65" s="32">
        <f>1250</f>
        <v>1250</v>
      </c>
      <c r="D65" s="32">
        <f t="shared" si="27"/>
        <v>947.80000000000018</v>
      </c>
      <c r="E65" s="33">
        <f t="shared" si="28"/>
        <v>1.7582400000000002</v>
      </c>
      <c r="F65" s="31"/>
      <c r="G65" s="32">
        <f>1250</f>
        <v>1250</v>
      </c>
      <c r="H65" s="32">
        <f t="shared" si="29"/>
        <v>-1250</v>
      </c>
      <c r="I65" s="33">
        <f t="shared" si="30"/>
        <v>0</v>
      </c>
      <c r="J65" s="31"/>
      <c r="K65" s="32">
        <f>1250</f>
        <v>1250</v>
      </c>
      <c r="L65" s="32">
        <f t="shared" si="31"/>
        <v>-1250</v>
      </c>
      <c r="M65" s="33">
        <f t="shared" si="32"/>
        <v>0</v>
      </c>
      <c r="N65" s="31"/>
      <c r="O65" s="32">
        <f>1250</f>
        <v>1250</v>
      </c>
      <c r="P65" s="32">
        <f t="shared" si="33"/>
        <v>-1250</v>
      </c>
      <c r="Q65" s="33">
        <f t="shared" si="34"/>
        <v>0</v>
      </c>
      <c r="R65" s="31"/>
      <c r="S65" s="32">
        <f>1250</f>
        <v>1250</v>
      </c>
      <c r="T65" s="32">
        <f t="shared" si="35"/>
        <v>-1250</v>
      </c>
      <c r="U65" s="33">
        <f t="shared" si="36"/>
        <v>0</v>
      </c>
      <c r="V65" s="31"/>
      <c r="W65" s="32">
        <f>1250</f>
        <v>1250</v>
      </c>
      <c r="X65" s="32">
        <f t="shared" si="37"/>
        <v>-1250</v>
      </c>
      <c r="Y65" s="33">
        <f t="shared" si="38"/>
        <v>0</v>
      </c>
      <c r="Z65" s="31"/>
      <c r="AA65" s="32">
        <f>1250</f>
        <v>1250</v>
      </c>
      <c r="AB65" s="32">
        <f t="shared" si="39"/>
        <v>-1250</v>
      </c>
      <c r="AC65" s="33">
        <f t="shared" si="40"/>
        <v>0</v>
      </c>
      <c r="AD65" s="31"/>
      <c r="AE65" s="32">
        <f>1250</f>
        <v>1250</v>
      </c>
      <c r="AF65" s="32">
        <f t="shared" si="41"/>
        <v>-1250</v>
      </c>
      <c r="AG65" s="33">
        <f t="shared" si="42"/>
        <v>0</v>
      </c>
      <c r="AH65" s="31"/>
      <c r="AI65" s="32">
        <f>1250</f>
        <v>1250</v>
      </c>
      <c r="AJ65" s="32">
        <f t="shared" si="43"/>
        <v>-1250</v>
      </c>
      <c r="AK65" s="33">
        <f t="shared" si="44"/>
        <v>0</v>
      </c>
      <c r="AL65" s="31"/>
      <c r="AM65" s="32">
        <f>1250</f>
        <v>1250</v>
      </c>
      <c r="AN65" s="32">
        <f t="shared" si="45"/>
        <v>-1250</v>
      </c>
      <c r="AO65" s="33">
        <f t="shared" si="46"/>
        <v>0</v>
      </c>
      <c r="AP65" s="31"/>
      <c r="AQ65" s="32">
        <f>1250</f>
        <v>1250</v>
      </c>
      <c r="AR65" s="32">
        <f t="shared" si="47"/>
        <v>-1250</v>
      </c>
      <c r="AS65" s="33">
        <f t="shared" si="48"/>
        <v>0</v>
      </c>
      <c r="AT65" s="31"/>
      <c r="AU65" s="32">
        <f>1250</f>
        <v>1250</v>
      </c>
      <c r="AV65" s="32">
        <f t="shared" si="49"/>
        <v>-1250</v>
      </c>
      <c r="AW65" s="33">
        <f t="shared" si="50"/>
        <v>0</v>
      </c>
      <c r="AX65" s="32">
        <f t="shared" si="54"/>
        <v>2197.8000000000002</v>
      </c>
      <c r="AY65" s="32">
        <f t="shared" si="54"/>
        <v>15000</v>
      </c>
      <c r="AZ65" s="32">
        <f t="shared" si="52"/>
        <v>-12802.2</v>
      </c>
      <c r="BA65" s="33">
        <f t="shared" si="53"/>
        <v>0.14652000000000001</v>
      </c>
    </row>
    <row r="66" spans="1:53" x14ac:dyDescent="0.3">
      <c r="A66" s="30" t="s">
        <v>142</v>
      </c>
      <c r="B66" s="31"/>
      <c r="C66" s="32">
        <f>2083.33</f>
        <v>2083.33</v>
      </c>
      <c r="D66" s="32">
        <f t="shared" si="27"/>
        <v>-2083.33</v>
      </c>
      <c r="E66" s="33">
        <f t="shared" si="28"/>
        <v>0</v>
      </c>
      <c r="F66" s="31"/>
      <c r="G66" s="32">
        <f>2083.33</f>
        <v>2083.33</v>
      </c>
      <c r="H66" s="32">
        <f t="shared" si="29"/>
        <v>-2083.33</v>
      </c>
      <c r="I66" s="33">
        <f t="shared" si="30"/>
        <v>0</v>
      </c>
      <c r="J66" s="32">
        <f>3374.98</f>
        <v>3374.98</v>
      </c>
      <c r="K66" s="32">
        <f>2083.33</f>
        <v>2083.33</v>
      </c>
      <c r="L66" s="32">
        <f t="shared" si="31"/>
        <v>1291.6500000000001</v>
      </c>
      <c r="M66" s="33">
        <f t="shared" si="32"/>
        <v>1.6199929919887872</v>
      </c>
      <c r="N66" s="31"/>
      <c r="O66" s="32">
        <f>2083.33</f>
        <v>2083.33</v>
      </c>
      <c r="P66" s="32">
        <f t="shared" si="33"/>
        <v>-2083.33</v>
      </c>
      <c r="Q66" s="33">
        <f t="shared" si="34"/>
        <v>0</v>
      </c>
      <c r="R66" s="31"/>
      <c r="S66" s="32">
        <f>2083.33</f>
        <v>2083.33</v>
      </c>
      <c r="T66" s="32">
        <f t="shared" si="35"/>
        <v>-2083.33</v>
      </c>
      <c r="U66" s="33">
        <f t="shared" si="36"/>
        <v>0</v>
      </c>
      <c r="V66" s="31"/>
      <c r="W66" s="32">
        <f>2083.33</f>
        <v>2083.33</v>
      </c>
      <c r="X66" s="32">
        <f t="shared" si="37"/>
        <v>-2083.33</v>
      </c>
      <c r="Y66" s="33">
        <f t="shared" si="38"/>
        <v>0</v>
      </c>
      <c r="Z66" s="31"/>
      <c r="AA66" s="32">
        <f>2083.33</f>
        <v>2083.33</v>
      </c>
      <c r="AB66" s="32">
        <f t="shared" si="39"/>
        <v>-2083.33</v>
      </c>
      <c r="AC66" s="33">
        <f t="shared" si="40"/>
        <v>0</v>
      </c>
      <c r="AD66" s="31"/>
      <c r="AE66" s="32">
        <f>2083.33</f>
        <v>2083.33</v>
      </c>
      <c r="AF66" s="32">
        <f t="shared" si="41"/>
        <v>-2083.33</v>
      </c>
      <c r="AG66" s="33">
        <f t="shared" si="42"/>
        <v>0</v>
      </c>
      <c r="AH66" s="31"/>
      <c r="AI66" s="32">
        <f>2083.33</f>
        <v>2083.33</v>
      </c>
      <c r="AJ66" s="32">
        <f t="shared" si="43"/>
        <v>-2083.33</v>
      </c>
      <c r="AK66" s="33">
        <f t="shared" si="44"/>
        <v>0</v>
      </c>
      <c r="AL66" s="31"/>
      <c r="AM66" s="32">
        <f>2083.33</f>
        <v>2083.33</v>
      </c>
      <c r="AN66" s="32">
        <f t="shared" si="45"/>
        <v>-2083.33</v>
      </c>
      <c r="AO66" s="33">
        <f t="shared" si="46"/>
        <v>0</v>
      </c>
      <c r="AP66" s="31"/>
      <c r="AQ66" s="32">
        <f>2083.33</f>
        <v>2083.33</v>
      </c>
      <c r="AR66" s="32">
        <f t="shared" si="47"/>
        <v>-2083.33</v>
      </c>
      <c r="AS66" s="33">
        <f t="shared" si="48"/>
        <v>0</v>
      </c>
      <c r="AT66" s="31"/>
      <c r="AU66" s="32">
        <f>2083.37</f>
        <v>2083.37</v>
      </c>
      <c r="AV66" s="32">
        <f t="shared" si="49"/>
        <v>-2083.37</v>
      </c>
      <c r="AW66" s="33">
        <f t="shared" si="50"/>
        <v>0</v>
      </c>
      <c r="AX66" s="32">
        <f t="shared" si="54"/>
        <v>3374.98</v>
      </c>
      <c r="AY66" s="32">
        <f t="shared" si="54"/>
        <v>25000.000000000004</v>
      </c>
      <c r="AZ66" s="32">
        <f t="shared" si="52"/>
        <v>-21625.020000000004</v>
      </c>
      <c r="BA66" s="33">
        <f t="shared" si="53"/>
        <v>0.13499919999999999</v>
      </c>
    </row>
    <row r="67" spans="1:53" x14ac:dyDescent="0.3">
      <c r="A67" s="30" t="s">
        <v>143</v>
      </c>
      <c r="B67" s="31"/>
      <c r="C67" s="32">
        <f>291.67</f>
        <v>291.67</v>
      </c>
      <c r="D67" s="32">
        <f t="shared" si="27"/>
        <v>-291.67</v>
      </c>
      <c r="E67" s="33">
        <f t="shared" si="28"/>
        <v>0</v>
      </c>
      <c r="F67" s="31"/>
      <c r="G67" s="32">
        <f>291.67</f>
        <v>291.67</v>
      </c>
      <c r="H67" s="32">
        <f t="shared" si="29"/>
        <v>-291.67</v>
      </c>
      <c r="I67" s="33">
        <f t="shared" si="30"/>
        <v>0</v>
      </c>
      <c r="J67" s="32">
        <f>330.1</f>
        <v>330.1</v>
      </c>
      <c r="K67" s="32">
        <f>291.67</f>
        <v>291.67</v>
      </c>
      <c r="L67" s="32">
        <f t="shared" si="31"/>
        <v>38.430000000000007</v>
      </c>
      <c r="M67" s="33">
        <f t="shared" si="32"/>
        <v>1.1317584941886378</v>
      </c>
      <c r="N67" s="31"/>
      <c r="O67" s="32">
        <f>291.67</f>
        <v>291.67</v>
      </c>
      <c r="P67" s="32">
        <f t="shared" si="33"/>
        <v>-291.67</v>
      </c>
      <c r="Q67" s="33">
        <f t="shared" si="34"/>
        <v>0</v>
      </c>
      <c r="R67" s="31"/>
      <c r="S67" s="32">
        <f>291.67</f>
        <v>291.67</v>
      </c>
      <c r="T67" s="32">
        <f t="shared" si="35"/>
        <v>-291.67</v>
      </c>
      <c r="U67" s="33">
        <f t="shared" si="36"/>
        <v>0</v>
      </c>
      <c r="V67" s="31"/>
      <c r="W67" s="32">
        <f>291.67</f>
        <v>291.67</v>
      </c>
      <c r="X67" s="32">
        <f t="shared" si="37"/>
        <v>-291.67</v>
      </c>
      <c r="Y67" s="33">
        <f t="shared" si="38"/>
        <v>0</v>
      </c>
      <c r="Z67" s="31"/>
      <c r="AA67" s="32">
        <f>291.67</f>
        <v>291.67</v>
      </c>
      <c r="AB67" s="32">
        <f t="shared" si="39"/>
        <v>-291.67</v>
      </c>
      <c r="AC67" s="33">
        <f t="shared" si="40"/>
        <v>0</v>
      </c>
      <c r="AD67" s="31"/>
      <c r="AE67" s="32">
        <f>291.67</f>
        <v>291.67</v>
      </c>
      <c r="AF67" s="32">
        <f t="shared" si="41"/>
        <v>-291.67</v>
      </c>
      <c r="AG67" s="33">
        <f t="shared" si="42"/>
        <v>0</v>
      </c>
      <c r="AH67" s="31"/>
      <c r="AI67" s="32">
        <f>291.67</f>
        <v>291.67</v>
      </c>
      <c r="AJ67" s="32">
        <f t="shared" si="43"/>
        <v>-291.67</v>
      </c>
      <c r="AK67" s="33">
        <f t="shared" si="44"/>
        <v>0</v>
      </c>
      <c r="AL67" s="31"/>
      <c r="AM67" s="32">
        <f>291.67</f>
        <v>291.67</v>
      </c>
      <c r="AN67" s="32">
        <f t="shared" si="45"/>
        <v>-291.67</v>
      </c>
      <c r="AO67" s="33">
        <f t="shared" si="46"/>
        <v>0</v>
      </c>
      <c r="AP67" s="31"/>
      <c r="AQ67" s="32">
        <f>291.67</f>
        <v>291.67</v>
      </c>
      <c r="AR67" s="32">
        <f t="shared" si="47"/>
        <v>-291.67</v>
      </c>
      <c r="AS67" s="33">
        <f t="shared" si="48"/>
        <v>0</v>
      </c>
      <c r="AT67" s="31"/>
      <c r="AU67" s="32">
        <f>291.63</f>
        <v>291.63</v>
      </c>
      <c r="AV67" s="32">
        <f t="shared" si="49"/>
        <v>-291.63</v>
      </c>
      <c r="AW67" s="33">
        <f t="shared" si="50"/>
        <v>0</v>
      </c>
      <c r="AX67" s="32">
        <f t="shared" si="54"/>
        <v>330.1</v>
      </c>
      <c r="AY67" s="32">
        <f t="shared" si="54"/>
        <v>3500.0000000000005</v>
      </c>
      <c r="AZ67" s="32">
        <f t="shared" si="52"/>
        <v>-3169.9000000000005</v>
      </c>
      <c r="BA67" s="33">
        <f t="shared" si="53"/>
        <v>9.4314285714285712E-2</v>
      </c>
    </row>
    <row r="68" spans="1:53" x14ac:dyDescent="0.3">
      <c r="A68" s="30" t="s">
        <v>144</v>
      </c>
      <c r="B68" s="32">
        <f>24.99</f>
        <v>24.99</v>
      </c>
      <c r="C68" s="32">
        <f>250</f>
        <v>250</v>
      </c>
      <c r="D68" s="32">
        <f t="shared" si="27"/>
        <v>-225.01</v>
      </c>
      <c r="E68" s="33">
        <f t="shared" si="28"/>
        <v>9.9959999999999993E-2</v>
      </c>
      <c r="F68" s="32">
        <f>266.53</f>
        <v>266.52999999999997</v>
      </c>
      <c r="G68" s="32">
        <f>250</f>
        <v>250</v>
      </c>
      <c r="H68" s="32">
        <f t="shared" si="29"/>
        <v>16.529999999999973</v>
      </c>
      <c r="I68" s="33">
        <f t="shared" si="30"/>
        <v>1.06612</v>
      </c>
      <c r="J68" s="31"/>
      <c r="K68" s="32">
        <f>250</f>
        <v>250</v>
      </c>
      <c r="L68" s="32">
        <f t="shared" si="31"/>
        <v>-250</v>
      </c>
      <c r="M68" s="33">
        <f t="shared" si="32"/>
        <v>0</v>
      </c>
      <c r="N68" s="31"/>
      <c r="O68" s="32">
        <f>250</f>
        <v>250</v>
      </c>
      <c r="P68" s="32">
        <f t="shared" si="33"/>
        <v>-250</v>
      </c>
      <c r="Q68" s="33">
        <f t="shared" si="34"/>
        <v>0</v>
      </c>
      <c r="R68" s="31"/>
      <c r="S68" s="32">
        <f>250</f>
        <v>250</v>
      </c>
      <c r="T68" s="32">
        <f t="shared" si="35"/>
        <v>-250</v>
      </c>
      <c r="U68" s="33">
        <f t="shared" si="36"/>
        <v>0</v>
      </c>
      <c r="V68" s="31"/>
      <c r="W68" s="32">
        <f>250</f>
        <v>250</v>
      </c>
      <c r="X68" s="32">
        <f t="shared" si="37"/>
        <v>-250</v>
      </c>
      <c r="Y68" s="33">
        <f t="shared" si="38"/>
        <v>0</v>
      </c>
      <c r="Z68" s="31"/>
      <c r="AA68" s="32">
        <f>250</f>
        <v>250</v>
      </c>
      <c r="AB68" s="32">
        <f t="shared" si="39"/>
        <v>-250</v>
      </c>
      <c r="AC68" s="33">
        <f t="shared" si="40"/>
        <v>0</v>
      </c>
      <c r="AD68" s="31"/>
      <c r="AE68" s="32">
        <f>250</f>
        <v>250</v>
      </c>
      <c r="AF68" s="32">
        <f t="shared" si="41"/>
        <v>-250</v>
      </c>
      <c r="AG68" s="33">
        <f t="shared" si="42"/>
        <v>0</v>
      </c>
      <c r="AH68" s="31"/>
      <c r="AI68" s="32">
        <f>250</f>
        <v>250</v>
      </c>
      <c r="AJ68" s="32">
        <f t="shared" si="43"/>
        <v>-250</v>
      </c>
      <c r="AK68" s="33">
        <f t="shared" si="44"/>
        <v>0</v>
      </c>
      <c r="AL68" s="31"/>
      <c r="AM68" s="32">
        <f>250</f>
        <v>250</v>
      </c>
      <c r="AN68" s="32">
        <f t="shared" si="45"/>
        <v>-250</v>
      </c>
      <c r="AO68" s="33">
        <f t="shared" si="46"/>
        <v>0</v>
      </c>
      <c r="AP68" s="31"/>
      <c r="AQ68" s="32">
        <f>250</f>
        <v>250</v>
      </c>
      <c r="AR68" s="32">
        <f t="shared" si="47"/>
        <v>-250</v>
      </c>
      <c r="AS68" s="33">
        <f t="shared" si="48"/>
        <v>0</v>
      </c>
      <c r="AT68" s="31"/>
      <c r="AU68" s="32">
        <f>250</f>
        <v>250</v>
      </c>
      <c r="AV68" s="32">
        <f t="shared" si="49"/>
        <v>-250</v>
      </c>
      <c r="AW68" s="33">
        <f t="shared" si="50"/>
        <v>0</v>
      </c>
      <c r="AX68" s="32">
        <f t="shared" si="54"/>
        <v>291.52</v>
      </c>
      <c r="AY68" s="32">
        <f t="shared" si="54"/>
        <v>3000</v>
      </c>
      <c r="AZ68" s="32">
        <f t="shared" si="52"/>
        <v>-2708.48</v>
      </c>
      <c r="BA68" s="33">
        <f t="shared" si="53"/>
        <v>9.7173333333333334E-2</v>
      </c>
    </row>
    <row r="69" spans="1:53" x14ac:dyDescent="0.3">
      <c r="A69" s="30" t="s">
        <v>145</v>
      </c>
      <c r="B69" s="31"/>
      <c r="C69" s="32">
        <f>125</f>
        <v>125</v>
      </c>
      <c r="D69" s="32">
        <f t="shared" si="27"/>
        <v>-125</v>
      </c>
      <c r="E69" s="33">
        <f t="shared" si="28"/>
        <v>0</v>
      </c>
      <c r="F69" s="31"/>
      <c r="G69" s="32">
        <f>125</f>
        <v>125</v>
      </c>
      <c r="H69" s="32">
        <f t="shared" si="29"/>
        <v>-125</v>
      </c>
      <c r="I69" s="33">
        <f t="shared" si="30"/>
        <v>0</v>
      </c>
      <c r="J69" s="31"/>
      <c r="K69" s="32">
        <f>125</f>
        <v>125</v>
      </c>
      <c r="L69" s="32">
        <f t="shared" si="31"/>
        <v>-125</v>
      </c>
      <c r="M69" s="33">
        <f t="shared" si="32"/>
        <v>0</v>
      </c>
      <c r="N69" s="31"/>
      <c r="O69" s="32">
        <f>125</f>
        <v>125</v>
      </c>
      <c r="P69" s="32">
        <f t="shared" si="33"/>
        <v>-125</v>
      </c>
      <c r="Q69" s="33">
        <f t="shared" si="34"/>
        <v>0</v>
      </c>
      <c r="R69" s="31"/>
      <c r="S69" s="32">
        <f>125</f>
        <v>125</v>
      </c>
      <c r="T69" s="32">
        <f t="shared" si="35"/>
        <v>-125</v>
      </c>
      <c r="U69" s="33">
        <f t="shared" si="36"/>
        <v>0</v>
      </c>
      <c r="V69" s="31"/>
      <c r="W69" s="32">
        <f>125</f>
        <v>125</v>
      </c>
      <c r="X69" s="32">
        <f t="shared" si="37"/>
        <v>-125</v>
      </c>
      <c r="Y69" s="33">
        <f t="shared" si="38"/>
        <v>0</v>
      </c>
      <c r="Z69" s="31"/>
      <c r="AA69" s="32">
        <f>125</f>
        <v>125</v>
      </c>
      <c r="AB69" s="32">
        <f t="shared" si="39"/>
        <v>-125</v>
      </c>
      <c r="AC69" s="33">
        <f t="shared" si="40"/>
        <v>0</v>
      </c>
      <c r="AD69" s="31"/>
      <c r="AE69" s="32">
        <f>125</f>
        <v>125</v>
      </c>
      <c r="AF69" s="32">
        <f t="shared" si="41"/>
        <v>-125</v>
      </c>
      <c r="AG69" s="33">
        <f t="shared" si="42"/>
        <v>0</v>
      </c>
      <c r="AH69" s="31"/>
      <c r="AI69" s="32">
        <f>125</f>
        <v>125</v>
      </c>
      <c r="AJ69" s="32">
        <f t="shared" si="43"/>
        <v>-125</v>
      </c>
      <c r="AK69" s="33">
        <f t="shared" si="44"/>
        <v>0</v>
      </c>
      <c r="AL69" s="31"/>
      <c r="AM69" s="32">
        <f>125</f>
        <v>125</v>
      </c>
      <c r="AN69" s="32">
        <f t="shared" si="45"/>
        <v>-125</v>
      </c>
      <c r="AO69" s="33">
        <f t="shared" si="46"/>
        <v>0</v>
      </c>
      <c r="AP69" s="31"/>
      <c r="AQ69" s="32">
        <f>125</f>
        <v>125</v>
      </c>
      <c r="AR69" s="32">
        <f t="shared" si="47"/>
        <v>-125</v>
      </c>
      <c r="AS69" s="33">
        <f t="shared" si="48"/>
        <v>0</v>
      </c>
      <c r="AT69" s="31"/>
      <c r="AU69" s="32">
        <f>125</f>
        <v>125</v>
      </c>
      <c r="AV69" s="32">
        <f t="shared" si="49"/>
        <v>-125</v>
      </c>
      <c r="AW69" s="33">
        <f t="shared" si="50"/>
        <v>0</v>
      </c>
      <c r="AX69" s="32">
        <f t="shared" si="54"/>
        <v>0</v>
      </c>
      <c r="AY69" s="32">
        <f t="shared" si="54"/>
        <v>1500</v>
      </c>
      <c r="AZ69" s="32">
        <f t="shared" si="52"/>
        <v>-1500</v>
      </c>
      <c r="BA69" s="33">
        <f t="shared" si="53"/>
        <v>0</v>
      </c>
    </row>
    <row r="70" spans="1:53" x14ac:dyDescent="0.3">
      <c r="A70" s="30" t="s">
        <v>146</v>
      </c>
      <c r="B70" s="34">
        <f>(((((((B62)+(B63))+(B64))+(B65))+(B66))+(B67))+(B68))+(B69)</f>
        <v>2222.79</v>
      </c>
      <c r="C70" s="34">
        <f>(((((((C62)+(C63))+(C64))+(C65))+(C66))+(C67))+(C68))+(C69)</f>
        <v>4958.33</v>
      </c>
      <c r="D70" s="34">
        <f t="shared" si="27"/>
        <v>-2735.54</v>
      </c>
      <c r="E70" s="35">
        <f t="shared" si="28"/>
        <v>0.44829408288677841</v>
      </c>
      <c r="F70" s="34">
        <f>(((((((F62)+(F63))+(F64))+(F65))+(F66))+(F67))+(F68))+(F69)</f>
        <v>961.53</v>
      </c>
      <c r="G70" s="34">
        <f>(((((((G62)+(G63))+(G64))+(G65))+(G66))+(G67))+(G68))+(G69)</f>
        <v>4958.33</v>
      </c>
      <c r="H70" s="34">
        <f t="shared" si="29"/>
        <v>-3996.8</v>
      </c>
      <c r="I70" s="35">
        <f t="shared" si="30"/>
        <v>0.19392214717455272</v>
      </c>
      <c r="J70" s="34">
        <f>(((((((J62)+(J63))+(J64))+(J65))+(J66))+(J67))+(J68))+(J69)</f>
        <v>5095.08</v>
      </c>
      <c r="K70" s="34">
        <f>(((((((K62)+(K63))+(K64))+(K65))+(K66))+(K67))+(K68))+(K69)</f>
        <v>4958.33</v>
      </c>
      <c r="L70" s="34">
        <f t="shared" si="31"/>
        <v>136.75</v>
      </c>
      <c r="M70" s="35">
        <f t="shared" si="32"/>
        <v>1.0275798504738491</v>
      </c>
      <c r="N70" s="34">
        <f>(((((((N62)+(N63))+(N64))+(N65))+(N66))+(N67))+(N68))+(N69)</f>
        <v>0</v>
      </c>
      <c r="O70" s="34">
        <f>(((((((O62)+(O63))+(O64))+(O65))+(O66))+(O67))+(O68))+(O69)</f>
        <v>4958.33</v>
      </c>
      <c r="P70" s="34">
        <f t="shared" si="33"/>
        <v>-4958.33</v>
      </c>
      <c r="Q70" s="35">
        <f t="shared" si="34"/>
        <v>0</v>
      </c>
      <c r="R70" s="34">
        <f>(((((((R62)+(R63))+(R64))+(R65))+(R66))+(R67))+(R68))+(R69)</f>
        <v>0</v>
      </c>
      <c r="S70" s="34">
        <f>(((((((S62)+(S63))+(S64))+(S65))+(S66))+(S67))+(S68))+(S69)</f>
        <v>4958.33</v>
      </c>
      <c r="T70" s="34">
        <f t="shared" si="35"/>
        <v>-4958.33</v>
      </c>
      <c r="U70" s="35">
        <f t="shared" si="36"/>
        <v>0</v>
      </c>
      <c r="V70" s="34">
        <f>(((((((V62)+(V63))+(V64))+(V65))+(V66))+(V67))+(V68))+(V69)</f>
        <v>0</v>
      </c>
      <c r="W70" s="34">
        <f>(((((((W62)+(W63))+(W64))+(W65))+(W66))+(W67))+(W68))+(W69)</f>
        <v>4958.33</v>
      </c>
      <c r="X70" s="34">
        <f t="shared" si="37"/>
        <v>-4958.33</v>
      </c>
      <c r="Y70" s="35">
        <f t="shared" si="38"/>
        <v>0</v>
      </c>
      <c r="Z70" s="34">
        <f>(((((((Z62)+(Z63))+(Z64))+(Z65))+(Z66))+(Z67))+(Z68))+(Z69)</f>
        <v>0</v>
      </c>
      <c r="AA70" s="34">
        <f>(((((((AA62)+(AA63))+(AA64))+(AA65))+(AA66))+(AA67))+(AA68))+(AA69)</f>
        <v>4958.33</v>
      </c>
      <c r="AB70" s="34">
        <f t="shared" si="39"/>
        <v>-4958.33</v>
      </c>
      <c r="AC70" s="35">
        <f t="shared" si="40"/>
        <v>0</v>
      </c>
      <c r="AD70" s="34">
        <f>(((((((AD62)+(AD63))+(AD64))+(AD65))+(AD66))+(AD67))+(AD68))+(AD69)</f>
        <v>0</v>
      </c>
      <c r="AE70" s="34">
        <f>(((((((AE62)+(AE63))+(AE64))+(AE65))+(AE66))+(AE67))+(AE68))+(AE69)</f>
        <v>4958.33</v>
      </c>
      <c r="AF70" s="34">
        <f t="shared" si="41"/>
        <v>-4958.33</v>
      </c>
      <c r="AG70" s="35">
        <f t="shared" si="42"/>
        <v>0</v>
      </c>
      <c r="AH70" s="34">
        <f>(((((((AH62)+(AH63))+(AH64))+(AH65))+(AH66))+(AH67))+(AH68))+(AH69)</f>
        <v>0</v>
      </c>
      <c r="AI70" s="34">
        <f>(((((((AI62)+(AI63))+(AI64))+(AI65))+(AI66))+(AI67))+(AI68))+(AI69)</f>
        <v>4958.33</v>
      </c>
      <c r="AJ70" s="34">
        <f t="shared" si="43"/>
        <v>-4958.33</v>
      </c>
      <c r="AK70" s="35">
        <f t="shared" si="44"/>
        <v>0</v>
      </c>
      <c r="AL70" s="34">
        <f>(((((((AL62)+(AL63))+(AL64))+(AL65))+(AL66))+(AL67))+(AL68))+(AL69)</f>
        <v>0</v>
      </c>
      <c r="AM70" s="34">
        <f>(((((((AM62)+(AM63))+(AM64))+(AM65))+(AM66))+(AM67))+(AM68))+(AM69)</f>
        <v>4958.33</v>
      </c>
      <c r="AN70" s="34">
        <f t="shared" si="45"/>
        <v>-4958.33</v>
      </c>
      <c r="AO70" s="35">
        <f t="shared" si="46"/>
        <v>0</v>
      </c>
      <c r="AP70" s="34">
        <f>(((((((AP62)+(AP63))+(AP64))+(AP65))+(AP66))+(AP67))+(AP68))+(AP69)</f>
        <v>0</v>
      </c>
      <c r="AQ70" s="34">
        <f>(((((((AQ62)+(AQ63))+(AQ64))+(AQ65))+(AQ66))+(AQ67))+(AQ68))+(AQ69)</f>
        <v>4958.33</v>
      </c>
      <c r="AR70" s="34">
        <f t="shared" si="47"/>
        <v>-4958.33</v>
      </c>
      <c r="AS70" s="35">
        <f t="shared" si="48"/>
        <v>0</v>
      </c>
      <c r="AT70" s="34">
        <f>(((((((AT62)+(AT63))+(AT64))+(AT65))+(AT66))+(AT67))+(AT68))+(AT69)</f>
        <v>0</v>
      </c>
      <c r="AU70" s="34">
        <f>(((((((AU62)+(AU63))+(AU64))+(AU65))+(AU66))+(AU67))+(AU68))+(AU69)</f>
        <v>4958.37</v>
      </c>
      <c r="AV70" s="34">
        <f t="shared" si="49"/>
        <v>-4958.37</v>
      </c>
      <c r="AW70" s="35">
        <f t="shared" si="50"/>
        <v>0</v>
      </c>
      <c r="AX70" s="34">
        <f t="shared" si="54"/>
        <v>8279.4</v>
      </c>
      <c r="AY70" s="34">
        <f t="shared" si="54"/>
        <v>59500.000000000015</v>
      </c>
      <c r="AZ70" s="34">
        <f t="shared" si="52"/>
        <v>-51220.600000000013</v>
      </c>
      <c r="BA70" s="35">
        <f t="shared" si="53"/>
        <v>0.13914957983193274</v>
      </c>
    </row>
    <row r="71" spans="1:53" x14ac:dyDescent="0.3">
      <c r="A71" s="30" t="s">
        <v>147</v>
      </c>
      <c r="B71" s="32">
        <f>1190.21</f>
        <v>1190.21</v>
      </c>
      <c r="C71" s="32">
        <f>1250</f>
        <v>1250</v>
      </c>
      <c r="D71" s="32">
        <f t="shared" si="27"/>
        <v>-59.789999999999964</v>
      </c>
      <c r="E71" s="33">
        <f t="shared" si="28"/>
        <v>0.95216800000000001</v>
      </c>
      <c r="F71" s="32">
        <f>1229.88</f>
        <v>1229.8800000000001</v>
      </c>
      <c r="G71" s="32">
        <f>1250</f>
        <v>1250</v>
      </c>
      <c r="H71" s="32">
        <f t="shared" si="29"/>
        <v>-20.119999999999891</v>
      </c>
      <c r="I71" s="33">
        <f t="shared" si="30"/>
        <v>0.98390400000000011</v>
      </c>
      <c r="J71" s="32">
        <f>1229.88</f>
        <v>1229.8800000000001</v>
      </c>
      <c r="K71" s="32">
        <f>1250</f>
        <v>1250</v>
      </c>
      <c r="L71" s="32">
        <f t="shared" si="31"/>
        <v>-20.119999999999891</v>
      </c>
      <c r="M71" s="33">
        <f t="shared" si="32"/>
        <v>0.98390400000000011</v>
      </c>
      <c r="N71" s="31"/>
      <c r="O71" s="32">
        <f>1250</f>
        <v>1250</v>
      </c>
      <c r="P71" s="32">
        <f t="shared" si="33"/>
        <v>-1250</v>
      </c>
      <c r="Q71" s="33">
        <f t="shared" si="34"/>
        <v>0</v>
      </c>
      <c r="R71" s="31"/>
      <c r="S71" s="32">
        <f>1250</f>
        <v>1250</v>
      </c>
      <c r="T71" s="32">
        <f t="shared" si="35"/>
        <v>-1250</v>
      </c>
      <c r="U71" s="33">
        <f t="shared" si="36"/>
        <v>0</v>
      </c>
      <c r="V71" s="31"/>
      <c r="W71" s="32">
        <f>1250</f>
        <v>1250</v>
      </c>
      <c r="X71" s="32">
        <f t="shared" si="37"/>
        <v>-1250</v>
      </c>
      <c r="Y71" s="33">
        <f t="shared" si="38"/>
        <v>0</v>
      </c>
      <c r="Z71" s="31"/>
      <c r="AA71" s="32">
        <f>1250</f>
        <v>1250</v>
      </c>
      <c r="AB71" s="32">
        <f t="shared" si="39"/>
        <v>-1250</v>
      </c>
      <c r="AC71" s="33">
        <f t="shared" si="40"/>
        <v>0</v>
      </c>
      <c r="AD71" s="31"/>
      <c r="AE71" s="32">
        <f>1250</f>
        <v>1250</v>
      </c>
      <c r="AF71" s="32">
        <f t="shared" si="41"/>
        <v>-1250</v>
      </c>
      <c r="AG71" s="33">
        <f t="shared" si="42"/>
        <v>0</v>
      </c>
      <c r="AH71" s="31"/>
      <c r="AI71" s="32">
        <f>1250</f>
        <v>1250</v>
      </c>
      <c r="AJ71" s="32">
        <f t="shared" si="43"/>
        <v>-1250</v>
      </c>
      <c r="AK71" s="33">
        <f t="shared" si="44"/>
        <v>0</v>
      </c>
      <c r="AL71" s="31"/>
      <c r="AM71" s="32">
        <f>1250</f>
        <v>1250</v>
      </c>
      <c r="AN71" s="32">
        <f t="shared" si="45"/>
        <v>-1250</v>
      </c>
      <c r="AO71" s="33">
        <f t="shared" si="46"/>
        <v>0</v>
      </c>
      <c r="AP71" s="31"/>
      <c r="AQ71" s="32">
        <f>1250</f>
        <v>1250</v>
      </c>
      <c r="AR71" s="32">
        <f t="shared" si="47"/>
        <v>-1250</v>
      </c>
      <c r="AS71" s="33">
        <f t="shared" si="48"/>
        <v>0</v>
      </c>
      <c r="AT71" s="31"/>
      <c r="AU71" s="32">
        <f>1250</f>
        <v>1250</v>
      </c>
      <c r="AV71" s="32">
        <f t="shared" si="49"/>
        <v>-1250</v>
      </c>
      <c r="AW71" s="33">
        <f t="shared" si="50"/>
        <v>0</v>
      </c>
      <c r="AX71" s="32">
        <f t="shared" si="54"/>
        <v>3649.9700000000003</v>
      </c>
      <c r="AY71" s="32">
        <f t="shared" si="54"/>
        <v>15000</v>
      </c>
      <c r="AZ71" s="32">
        <f t="shared" si="52"/>
        <v>-11350.029999999999</v>
      </c>
      <c r="BA71" s="33">
        <f t="shared" si="53"/>
        <v>0.24333133333333334</v>
      </c>
    </row>
    <row r="72" spans="1:53" x14ac:dyDescent="0.3">
      <c r="A72" s="30" t="s">
        <v>148</v>
      </c>
      <c r="B72" s="32">
        <f>1761.84</f>
        <v>1761.84</v>
      </c>
      <c r="C72" s="32">
        <f>1250</f>
        <v>1250</v>
      </c>
      <c r="D72" s="32">
        <f t="shared" si="27"/>
        <v>511.83999999999992</v>
      </c>
      <c r="E72" s="33">
        <f t="shared" si="28"/>
        <v>1.4094719999999998</v>
      </c>
      <c r="F72" s="32">
        <f>120</f>
        <v>120</v>
      </c>
      <c r="G72" s="32">
        <f>1250</f>
        <v>1250</v>
      </c>
      <c r="H72" s="32">
        <f t="shared" si="29"/>
        <v>-1130</v>
      </c>
      <c r="I72" s="33">
        <f t="shared" si="30"/>
        <v>9.6000000000000002E-2</v>
      </c>
      <c r="J72" s="32">
        <f>402</f>
        <v>402</v>
      </c>
      <c r="K72" s="32">
        <f>1250</f>
        <v>1250</v>
      </c>
      <c r="L72" s="32">
        <f t="shared" si="31"/>
        <v>-848</v>
      </c>
      <c r="M72" s="33">
        <f t="shared" si="32"/>
        <v>0.3216</v>
      </c>
      <c r="N72" s="31"/>
      <c r="O72" s="32">
        <f>1250</f>
        <v>1250</v>
      </c>
      <c r="P72" s="32">
        <f t="shared" si="33"/>
        <v>-1250</v>
      </c>
      <c r="Q72" s="33">
        <f t="shared" si="34"/>
        <v>0</v>
      </c>
      <c r="R72" s="31"/>
      <c r="S72" s="32">
        <f>1250</f>
        <v>1250</v>
      </c>
      <c r="T72" s="32">
        <f t="shared" si="35"/>
        <v>-1250</v>
      </c>
      <c r="U72" s="33">
        <f t="shared" si="36"/>
        <v>0</v>
      </c>
      <c r="V72" s="31"/>
      <c r="W72" s="32">
        <f>1250</f>
        <v>1250</v>
      </c>
      <c r="X72" s="32">
        <f t="shared" si="37"/>
        <v>-1250</v>
      </c>
      <c r="Y72" s="33">
        <f t="shared" si="38"/>
        <v>0</v>
      </c>
      <c r="Z72" s="31"/>
      <c r="AA72" s="32">
        <f>1250</f>
        <v>1250</v>
      </c>
      <c r="AB72" s="32">
        <f t="shared" si="39"/>
        <v>-1250</v>
      </c>
      <c r="AC72" s="33">
        <f t="shared" si="40"/>
        <v>0</v>
      </c>
      <c r="AD72" s="31"/>
      <c r="AE72" s="32">
        <f>1250</f>
        <v>1250</v>
      </c>
      <c r="AF72" s="32">
        <f t="shared" si="41"/>
        <v>-1250</v>
      </c>
      <c r="AG72" s="33">
        <f t="shared" si="42"/>
        <v>0</v>
      </c>
      <c r="AH72" s="31"/>
      <c r="AI72" s="32">
        <f>1250</f>
        <v>1250</v>
      </c>
      <c r="AJ72" s="32">
        <f t="shared" si="43"/>
        <v>-1250</v>
      </c>
      <c r="AK72" s="33">
        <f t="shared" si="44"/>
        <v>0</v>
      </c>
      <c r="AL72" s="31"/>
      <c r="AM72" s="32">
        <f>1250</f>
        <v>1250</v>
      </c>
      <c r="AN72" s="32">
        <f t="shared" si="45"/>
        <v>-1250</v>
      </c>
      <c r="AO72" s="33">
        <f t="shared" si="46"/>
        <v>0</v>
      </c>
      <c r="AP72" s="31"/>
      <c r="AQ72" s="32">
        <f>1250</f>
        <v>1250</v>
      </c>
      <c r="AR72" s="32">
        <f t="shared" si="47"/>
        <v>-1250</v>
      </c>
      <c r="AS72" s="33">
        <f t="shared" si="48"/>
        <v>0</v>
      </c>
      <c r="AT72" s="31"/>
      <c r="AU72" s="32">
        <f>1250</f>
        <v>1250</v>
      </c>
      <c r="AV72" s="32">
        <f t="shared" si="49"/>
        <v>-1250</v>
      </c>
      <c r="AW72" s="33">
        <f t="shared" si="50"/>
        <v>0</v>
      </c>
      <c r="AX72" s="32">
        <f t="shared" si="54"/>
        <v>2283.84</v>
      </c>
      <c r="AY72" s="32">
        <f t="shared" si="54"/>
        <v>15000</v>
      </c>
      <c r="AZ72" s="32">
        <f t="shared" si="52"/>
        <v>-12716.16</v>
      </c>
      <c r="BA72" s="33">
        <f t="shared" si="53"/>
        <v>0.152256</v>
      </c>
    </row>
    <row r="73" spans="1:53" x14ac:dyDescent="0.3">
      <c r="A73" s="30" t="s">
        <v>149</v>
      </c>
      <c r="B73" s="32">
        <f>472</f>
        <v>472</v>
      </c>
      <c r="C73" s="32">
        <f>833.33</f>
        <v>833.33</v>
      </c>
      <c r="D73" s="32">
        <f t="shared" si="27"/>
        <v>-361.33000000000004</v>
      </c>
      <c r="E73" s="33">
        <f t="shared" si="28"/>
        <v>0.56640226560906237</v>
      </c>
      <c r="F73" s="31"/>
      <c r="G73" s="32">
        <f>833.33</f>
        <v>833.33</v>
      </c>
      <c r="H73" s="32">
        <f t="shared" si="29"/>
        <v>-833.33</v>
      </c>
      <c r="I73" s="33">
        <f t="shared" si="30"/>
        <v>0</v>
      </c>
      <c r="J73" s="32">
        <f>159.99</f>
        <v>159.99</v>
      </c>
      <c r="K73" s="32">
        <f>833.33</f>
        <v>833.33</v>
      </c>
      <c r="L73" s="32">
        <f t="shared" si="31"/>
        <v>-673.34</v>
      </c>
      <c r="M73" s="33">
        <f t="shared" si="32"/>
        <v>0.19198876795507183</v>
      </c>
      <c r="N73" s="31"/>
      <c r="O73" s="32">
        <f>833.33</f>
        <v>833.33</v>
      </c>
      <c r="P73" s="32">
        <f t="shared" si="33"/>
        <v>-833.33</v>
      </c>
      <c r="Q73" s="33">
        <f t="shared" si="34"/>
        <v>0</v>
      </c>
      <c r="R73" s="31"/>
      <c r="S73" s="32">
        <f>833.33</f>
        <v>833.33</v>
      </c>
      <c r="T73" s="32">
        <f t="shared" si="35"/>
        <v>-833.33</v>
      </c>
      <c r="U73" s="33">
        <f t="shared" si="36"/>
        <v>0</v>
      </c>
      <c r="V73" s="31"/>
      <c r="W73" s="32">
        <f>833.33</f>
        <v>833.33</v>
      </c>
      <c r="X73" s="32">
        <f t="shared" si="37"/>
        <v>-833.33</v>
      </c>
      <c r="Y73" s="33">
        <f t="shared" si="38"/>
        <v>0</v>
      </c>
      <c r="Z73" s="31"/>
      <c r="AA73" s="32">
        <f>833.33</f>
        <v>833.33</v>
      </c>
      <c r="AB73" s="32">
        <f t="shared" si="39"/>
        <v>-833.33</v>
      </c>
      <c r="AC73" s="33">
        <f t="shared" si="40"/>
        <v>0</v>
      </c>
      <c r="AD73" s="31"/>
      <c r="AE73" s="32">
        <f>833.33</f>
        <v>833.33</v>
      </c>
      <c r="AF73" s="32">
        <f t="shared" si="41"/>
        <v>-833.33</v>
      </c>
      <c r="AG73" s="33">
        <f t="shared" si="42"/>
        <v>0</v>
      </c>
      <c r="AH73" s="31"/>
      <c r="AI73" s="32">
        <f>833.33</f>
        <v>833.33</v>
      </c>
      <c r="AJ73" s="32">
        <f t="shared" si="43"/>
        <v>-833.33</v>
      </c>
      <c r="AK73" s="33">
        <f t="shared" si="44"/>
        <v>0</v>
      </c>
      <c r="AL73" s="31"/>
      <c r="AM73" s="32">
        <f>833.33</f>
        <v>833.33</v>
      </c>
      <c r="AN73" s="32">
        <f t="shared" si="45"/>
        <v>-833.33</v>
      </c>
      <c r="AO73" s="33">
        <f t="shared" si="46"/>
        <v>0</v>
      </c>
      <c r="AP73" s="31"/>
      <c r="AQ73" s="32">
        <f>833.33</f>
        <v>833.33</v>
      </c>
      <c r="AR73" s="32">
        <f t="shared" si="47"/>
        <v>-833.33</v>
      </c>
      <c r="AS73" s="33">
        <f t="shared" si="48"/>
        <v>0</v>
      </c>
      <c r="AT73" s="31"/>
      <c r="AU73" s="32">
        <f>833.37</f>
        <v>833.37</v>
      </c>
      <c r="AV73" s="32">
        <f t="shared" si="49"/>
        <v>-833.37</v>
      </c>
      <c r="AW73" s="33">
        <f t="shared" si="50"/>
        <v>0</v>
      </c>
      <c r="AX73" s="32">
        <f t="shared" si="54"/>
        <v>631.99</v>
      </c>
      <c r="AY73" s="32">
        <f t="shared" si="54"/>
        <v>10000.000000000002</v>
      </c>
      <c r="AZ73" s="32">
        <f t="shared" si="52"/>
        <v>-9368.010000000002</v>
      </c>
      <c r="BA73" s="33">
        <f t="shared" si="53"/>
        <v>6.3198999999999991E-2</v>
      </c>
    </row>
    <row r="74" spans="1:53" x14ac:dyDescent="0.3">
      <c r="A74" s="30" t="s">
        <v>150</v>
      </c>
      <c r="B74" s="31"/>
      <c r="C74" s="31"/>
      <c r="D74" s="32">
        <f t="shared" si="27"/>
        <v>0</v>
      </c>
      <c r="E74" s="33" t="str">
        <f t="shared" si="28"/>
        <v/>
      </c>
      <c r="F74" s="31"/>
      <c r="G74" s="31"/>
      <c r="H74" s="32">
        <f t="shared" si="29"/>
        <v>0</v>
      </c>
      <c r="I74" s="33" t="str">
        <f t="shared" si="30"/>
        <v/>
      </c>
      <c r="J74" s="31"/>
      <c r="K74" s="31"/>
      <c r="L74" s="32">
        <f t="shared" si="31"/>
        <v>0</v>
      </c>
      <c r="M74" s="33" t="str">
        <f t="shared" si="32"/>
        <v/>
      </c>
      <c r="N74" s="31"/>
      <c r="O74" s="31"/>
      <c r="P74" s="32">
        <f t="shared" si="33"/>
        <v>0</v>
      </c>
      <c r="Q74" s="33" t="str">
        <f t="shared" si="34"/>
        <v/>
      </c>
      <c r="R74" s="31"/>
      <c r="S74" s="31"/>
      <c r="T74" s="32">
        <f t="shared" si="35"/>
        <v>0</v>
      </c>
      <c r="U74" s="33" t="str">
        <f t="shared" si="36"/>
        <v/>
      </c>
      <c r="V74" s="31"/>
      <c r="W74" s="31"/>
      <c r="X74" s="32">
        <f t="shared" si="37"/>
        <v>0</v>
      </c>
      <c r="Y74" s="33" t="str">
        <f t="shared" si="38"/>
        <v/>
      </c>
      <c r="Z74" s="31"/>
      <c r="AA74" s="31"/>
      <c r="AB74" s="32">
        <f t="shared" si="39"/>
        <v>0</v>
      </c>
      <c r="AC74" s="33" t="str">
        <f t="shared" si="40"/>
        <v/>
      </c>
      <c r="AD74" s="31"/>
      <c r="AE74" s="31"/>
      <c r="AF74" s="32">
        <f t="shared" si="41"/>
        <v>0</v>
      </c>
      <c r="AG74" s="33" t="str">
        <f t="shared" si="42"/>
        <v/>
      </c>
      <c r="AH74" s="31"/>
      <c r="AI74" s="31"/>
      <c r="AJ74" s="32">
        <f t="shared" si="43"/>
        <v>0</v>
      </c>
      <c r="AK74" s="33" t="str">
        <f t="shared" si="44"/>
        <v/>
      </c>
      <c r="AL74" s="31"/>
      <c r="AM74" s="31"/>
      <c r="AN74" s="32">
        <f t="shared" si="45"/>
        <v>0</v>
      </c>
      <c r="AO74" s="33" t="str">
        <f t="shared" si="46"/>
        <v/>
      </c>
      <c r="AP74" s="31"/>
      <c r="AQ74" s="31"/>
      <c r="AR74" s="32">
        <f t="shared" si="47"/>
        <v>0</v>
      </c>
      <c r="AS74" s="33" t="str">
        <f t="shared" si="48"/>
        <v/>
      </c>
      <c r="AT74" s="31"/>
      <c r="AU74" s="31"/>
      <c r="AV74" s="32">
        <f t="shared" si="49"/>
        <v>0</v>
      </c>
      <c r="AW74" s="33" t="str">
        <f t="shared" si="50"/>
        <v/>
      </c>
      <c r="AX74" s="32">
        <f t="shared" si="54"/>
        <v>0</v>
      </c>
      <c r="AY74" s="32">
        <f t="shared" si="54"/>
        <v>0</v>
      </c>
      <c r="AZ74" s="32">
        <f t="shared" si="52"/>
        <v>0</v>
      </c>
      <c r="BA74" s="33" t="str">
        <f t="shared" si="53"/>
        <v/>
      </c>
    </row>
    <row r="75" spans="1:53" x14ac:dyDescent="0.3">
      <c r="A75" s="30" t="s">
        <v>151</v>
      </c>
      <c r="B75" s="32">
        <f>1020.58</f>
        <v>1020.58</v>
      </c>
      <c r="C75" s="32">
        <f>2500</f>
        <v>2500</v>
      </c>
      <c r="D75" s="32">
        <f t="shared" si="27"/>
        <v>-1479.42</v>
      </c>
      <c r="E75" s="33">
        <f t="shared" si="28"/>
        <v>0.40823200000000004</v>
      </c>
      <c r="F75" s="31"/>
      <c r="G75" s="32">
        <f>2500</f>
        <v>2500</v>
      </c>
      <c r="H75" s="32">
        <f t="shared" si="29"/>
        <v>-2500</v>
      </c>
      <c r="I75" s="33">
        <f t="shared" si="30"/>
        <v>0</v>
      </c>
      <c r="J75" s="32">
        <f>80.9</f>
        <v>80.900000000000006</v>
      </c>
      <c r="K75" s="32">
        <f>2500</f>
        <v>2500</v>
      </c>
      <c r="L75" s="32">
        <f t="shared" si="31"/>
        <v>-2419.1</v>
      </c>
      <c r="M75" s="33">
        <f t="shared" si="32"/>
        <v>3.236E-2</v>
      </c>
      <c r="N75" s="31"/>
      <c r="O75" s="32">
        <f>2500</f>
        <v>2500</v>
      </c>
      <c r="P75" s="32">
        <f t="shared" si="33"/>
        <v>-2500</v>
      </c>
      <c r="Q75" s="33">
        <f t="shared" si="34"/>
        <v>0</v>
      </c>
      <c r="R75" s="31"/>
      <c r="S75" s="32">
        <f>2500</f>
        <v>2500</v>
      </c>
      <c r="T75" s="32">
        <f t="shared" si="35"/>
        <v>-2500</v>
      </c>
      <c r="U75" s="33">
        <f t="shared" si="36"/>
        <v>0</v>
      </c>
      <c r="V75" s="31"/>
      <c r="W75" s="32">
        <f>2500</f>
        <v>2500</v>
      </c>
      <c r="X75" s="32">
        <f t="shared" si="37"/>
        <v>-2500</v>
      </c>
      <c r="Y75" s="33">
        <f t="shared" si="38"/>
        <v>0</v>
      </c>
      <c r="Z75" s="31"/>
      <c r="AA75" s="32">
        <f>2500</f>
        <v>2500</v>
      </c>
      <c r="AB75" s="32">
        <f t="shared" si="39"/>
        <v>-2500</v>
      </c>
      <c r="AC75" s="33">
        <f t="shared" si="40"/>
        <v>0</v>
      </c>
      <c r="AD75" s="31"/>
      <c r="AE75" s="32">
        <f>2500</f>
        <v>2500</v>
      </c>
      <c r="AF75" s="32">
        <f t="shared" si="41"/>
        <v>-2500</v>
      </c>
      <c r="AG75" s="33">
        <f t="shared" si="42"/>
        <v>0</v>
      </c>
      <c r="AH75" s="31"/>
      <c r="AI75" s="32">
        <f>2500</f>
        <v>2500</v>
      </c>
      <c r="AJ75" s="32">
        <f t="shared" si="43"/>
        <v>-2500</v>
      </c>
      <c r="AK75" s="33">
        <f t="shared" si="44"/>
        <v>0</v>
      </c>
      <c r="AL75" s="31"/>
      <c r="AM75" s="32">
        <f>2500</f>
        <v>2500</v>
      </c>
      <c r="AN75" s="32">
        <f t="shared" si="45"/>
        <v>-2500</v>
      </c>
      <c r="AO75" s="33">
        <f t="shared" si="46"/>
        <v>0</v>
      </c>
      <c r="AP75" s="31"/>
      <c r="AQ75" s="32">
        <f>2500</f>
        <v>2500</v>
      </c>
      <c r="AR75" s="32">
        <f t="shared" si="47"/>
        <v>-2500</v>
      </c>
      <c r="AS75" s="33">
        <f t="shared" si="48"/>
        <v>0</v>
      </c>
      <c r="AT75" s="31"/>
      <c r="AU75" s="32">
        <f>2500</f>
        <v>2500</v>
      </c>
      <c r="AV75" s="32">
        <f t="shared" si="49"/>
        <v>-2500</v>
      </c>
      <c r="AW75" s="33">
        <f t="shared" si="50"/>
        <v>0</v>
      </c>
      <c r="AX75" s="32">
        <f t="shared" si="54"/>
        <v>1101.48</v>
      </c>
      <c r="AY75" s="32">
        <f t="shared" si="54"/>
        <v>30000</v>
      </c>
      <c r="AZ75" s="32">
        <f t="shared" si="52"/>
        <v>-28898.52</v>
      </c>
      <c r="BA75" s="33">
        <f t="shared" si="53"/>
        <v>3.6715999999999999E-2</v>
      </c>
    </row>
    <row r="76" spans="1:53" x14ac:dyDescent="0.3">
      <c r="A76" s="30" t="s">
        <v>152</v>
      </c>
      <c r="B76" s="32">
        <f>34.47</f>
        <v>34.47</v>
      </c>
      <c r="C76" s="32">
        <f>2500</f>
        <v>2500</v>
      </c>
      <c r="D76" s="32">
        <f t="shared" si="27"/>
        <v>-2465.5300000000002</v>
      </c>
      <c r="E76" s="33">
        <f t="shared" si="28"/>
        <v>1.3788E-2</v>
      </c>
      <c r="F76" s="32">
        <f>509.52</f>
        <v>509.52</v>
      </c>
      <c r="G76" s="32">
        <f>2500</f>
        <v>2500</v>
      </c>
      <c r="H76" s="32">
        <f t="shared" si="29"/>
        <v>-1990.48</v>
      </c>
      <c r="I76" s="33">
        <f t="shared" si="30"/>
        <v>0.20380799999999999</v>
      </c>
      <c r="J76" s="32">
        <f>3417.2</f>
        <v>3417.2</v>
      </c>
      <c r="K76" s="32">
        <f>2500</f>
        <v>2500</v>
      </c>
      <c r="L76" s="32">
        <f t="shared" si="31"/>
        <v>917.19999999999982</v>
      </c>
      <c r="M76" s="33">
        <f t="shared" si="32"/>
        <v>1.3668799999999999</v>
      </c>
      <c r="N76" s="31"/>
      <c r="O76" s="32">
        <f>2500</f>
        <v>2500</v>
      </c>
      <c r="P76" s="32">
        <f t="shared" si="33"/>
        <v>-2500</v>
      </c>
      <c r="Q76" s="33">
        <f t="shared" si="34"/>
        <v>0</v>
      </c>
      <c r="R76" s="31"/>
      <c r="S76" s="32">
        <f>2500</f>
        <v>2500</v>
      </c>
      <c r="T76" s="32">
        <f t="shared" si="35"/>
        <v>-2500</v>
      </c>
      <c r="U76" s="33">
        <f t="shared" si="36"/>
        <v>0</v>
      </c>
      <c r="V76" s="31"/>
      <c r="W76" s="32">
        <f>2500</f>
        <v>2500</v>
      </c>
      <c r="X76" s="32">
        <f t="shared" si="37"/>
        <v>-2500</v>
      </c>
      <c r="Y76" s="33">
        <f t="shared" si="38"/>
        <v>0</v>
      </c>
      <c r="Z76" s="31"/>
      <c r="AA76" s="32">
        <f>2500</f>
        <v>2500</v>
      </c>
      <c r="AB76" s="32">
        <f t="shared" si="39"/>
        <v>-2500</v>
      </c>
      <c r="AC76" s="33">
        <f t="shared" si="40"/>
        <v>0</v>
      </c>
      <c r="AD76" s="31"/>
      <c r="AE76" s="32">
        <f>2500</f>
        <v>2500</v>
      </c>
      <c r="AF76" s="32">
        <f t="shared" si="41"/>
        <v>-2500</v>
      </c>
      <c r="AG76" s="33">
        <f t="shared" si="42"/>
        <v>0</v>
      </c>
      <c r="AH76" s="31"/>
      <c r="AI76" s="32">
        <f>2500</f>
        <v>2500</v>
      </c>
      <c r="AJ76" s="32">
        <f t="shared" si="43"/>
        <v>-2500</v>
      </c>
      <c r="AK76" s="33">
        <f t="shared" si="44"/>
        <v>0</v>
      </c>
      <c r="AL76" s="31"/>
      <c r="AM76" s="32">
        <f>2500</f>
        <v>2500</v>
      </c>
      <c r="AN76" s="32">
        <f t="shared" si="45"/>
        <v>-2500</v>
      </c>
      <c r="AO76" s="33">
        <f t="shared" si="46"/>
        <v>0</v>
      </c>
      <c r="AP76" s="31"/>
      <c r="AQ76" s="32">
        <f>2500</f>
        <v>2500</v>
      </c>
      <c r="AR76" s="32">
        <f t="shared" si="47"/>
        <v>-2500</v>
      </c>
      <c r="AS76" s="33">
        <f t="shared" si="48"/>
        <v>0</v>
      </c>
      <c r="AT76" s="31"/>
      <c r="AU76" s="32">
        <f>2500</f>
        <v>2500</v>
      </c>
      <c r="AV76" s="32">
        <f t="shared" si="49"/>
        <v>-2500</v>
      </c>
      <c r="AW76" s="33">
        <f t="shared" si="50"/>
        <v>0</v>
      </c>
      <c r="AX76" s="32">
        <f t="shared" si="54"/>
        <v>3961.1899999999996</v>
      </c>
      <c r="AY76" s="32">
        <f t="shared" si="54"/>
        <v>30000</v>
      </c>
      <c r="AZ76" s="32">
        <f t="shared" si="52"/>
        <v>-26038.81</v>
      </c>
      <c r="BA76" s="33">
        <f t="shared" si="53"/>
        <v>0.13203966666666667</v>
      </c>
    </row>
    <row r="77" spans="1:53" x14ac:dyDescent="0.3">
      <c r="A77" s="30" t="s">
        <v>153</v>
      </c>
      <c r="B77" s="34">
        <f>((B74)+(B75))+(B76)</f>
        <v>1055.05</v>
      </c>
      <c r="C77" s="34">
        <f>((C74)+(C75))+(C76)</f>
        <v>5000</v>
      </c>
      <c r="D77" s="34">
        <f t="shared" si="27"/>
        <v>-3944.95</v>
      </c>
      <c r="E77" s="35">
        <f t="shared" si="28"/>
        <v>0.21101</v>
      </c>
      <c r="F77" s="34">
        <f>((F74)+(F75))+(F76)</f>
        <v>509.52</v>
      </c>
      <c r="G77" s="34">
        <f>((G74)+(G75))+(G76)</f>
        <v>5000</v>
      </c>
      <c r="H77" s="34">
        <f t="shared" si="29"/>
        <v>-4490.4799999999996</v>
      </c>
      <c r="I77" s="35">
        <f t="shared" si="30"/>
        <v>0.10190399999999999</v>
      </c>
      <c r="J77" s="34">
        <f>((J74)+(J75))+(J76)</f>
        <v>3498.1</v>
      </c>
      <c r="K77" s="34">
        <f>((K74)+(K75))+(K76)</f>
        <v>5000</v>
      </c>
      <c r="L77" s="34">
        <f t="shared" si="31"/>
        <v>-1501.9</v>
      </c>
      <c r="M77" s="35">
        <f t="shared" si="32"/>
        <v>0.69962000000000002</v>
      </c>
      <c r="N77" s="34">
        <f>((N74)+(N75))+(N76)</f>
        <v>0</v>
      </c>
      <c r="O77" s="34">
        <f>((O74)+(O75))+(O76)</f>
        <v>5000</v>
      </c>
      <c r="P77" s="34">
        <f t="shared" si="33"/>
        <v>-5000</v>
      </c>
      <c r="Q77" s="35">
        <f t="shared" si="34"/>
        <v>0</v>
      </c>
      <c r="R77" s="34">
        <f>((R74)+(R75))+(R76)</f>
        <v>0</v>
      </c>
      <c r="S77" s="34">
        <f>((S74)+(S75))+(S76)</f>
        <v>5000</v>
      </c>
      <c r="T77" s="34">
        <f t="shared" si="35"/>
        <v>-5000</v>
      </c>
      <c r="U77" s="35">
        <f t="shared" si="36"/>
        <v>0</v>
      </c>
      <c r="V77" s="34">
        <f>((V74)+(V75))+(V76)</f>
        <v>0</v>
      </c>
      <c r="W77" s="34">
        <f>((W74)+(W75))+(W76)</f>
        <v>5000</v>
      </c>
      <c r="X77" s="34">
        <f t="shared" si="37"/>
        <v>-5000</v>
      </c>
      <c r="Y77" s="35">
        <f t="shared" si="38"/>
        <v>0</v>
      </c>
      <c r="Z77" s="34">
        <f>((Z74)+(Z75))+(Z76)</f>
        <v>0</v>
      </c>
      <c r="AA77" s="34">
        <f>((AA74)+(AA75))+(AA76)</f>
        <v>5000</v>
      </c>
      <c r="AB77" s="34">
        <f t="shared" si="39"/>
        <v>-5000</v>
      </c>
      <c r="AC77" s="35">
        <f t="shared" si="40"/>
        <v>0</v>
      </c>
      <c r="AD77" s="34">
        <f>((AD74)+(AD75))+(AD76)</f>
        <v>0</v>
      </c>
      <c r="AE77" s="34">
        <f>((AE74)+(AE75))+(AE76)</f>
        <v>5000</v>
      </c>
      <c r="AF77" s="34">
        <f t="shared" si="41"/>
        <v>-5000</v>
      </c>
      <c r="AG77" s="35">
        <f t="shared" si="42"/>
        <v>0</v>
      </c>
      <c r="AH77" s="34">
        <f>((AH74)+(AH75))+(AH76)</f>
        <v>0</v>
      </c>
      <c r="AI77" s="34">
        <f>((AI74)+(AI75))+(AI76)</f>
        <v>5000</v>
      </c>
      <c r="AJ77" s="34">
        <f t="shared" si="43"/>
        <v>-5000</v>
      </c>
      <c r="AK77" s="35">
        <f t="shared" si="44"/>
        <v>0</v>
      </c>
      <c r="AL77" s="34">
        <f>((AL74)+(AL75))+(AL76)</f>
        <v>0</v>
      </c>
      <c r="AM77" s="34">
        <f>((AM74)+(AM75))+(AM76)</f>
        <v>5000</v>
      </c>
      <c r="AN77" s="34">
        <f t="shared" si="45"/>
        <v>-5000</v>
      </c>
      <c r="AO77" s="35">
        <f t="shared" si="46"/>
        <v>0</v>
      </c>
      <c r="AP77" s="34">
        <f>((AP74)+(AP75))+(AP76)</f>
        <v>0</v>
      </c>
      <c r="AQ77" s="34">
        <f>((AQ74)+(AQ75))+(AQ76)</f>
        <v>5000</v>
      </c>
      <c r="AR77" s="34">
        <f t="shared" si="47"/>
        <v>-5000</v>
      </c>
      <c r="AS77" s="35">
        <f t="shared" si="48"/>
        <v>0</v>
      </c>
      <c r="AT77" s="34">
        <f>((AT74)+(AT75))+(AT76)</f>
        <v>0</v>
      </c>
      <c r="AU77" s="34">
        <f>((AU74)+(AU75))+(AU76)</f>
        <v>5000</v>
      </c>
      <c r="AV77" s="34">
        <f t="shared" si="49"/>
        <v>-5000</v>
      </c>
      <c r="AW77" s="35">
        <f t="shared" si="50"/>
        <v>0</v>
      </c>
      <c r="AX77" s="34">
        <f t="shared" si="54"/>
        <v>5062.67</v>
      </c>
      <c r="AY77" s="34">
        <f t="shared" si="54"/>
        <v>60000</v>
      </c>
      <c r="AZ77" s="34">
        <f t="shared" si="52"/>
        <v>-54937.33</v>
      </c>
      <c r="BA77" s="35">
        <f t="shared" si="53"/>
        <v>8.4377833333333332E-2</v>
      </c>
    </row>
    <row r="78" spans="1:53" x14ac:dyDescent="0.3">
      <c r="A78" s="30" t="s">
        <v>154</v>
      </c>
      <c r="B78" s="32">
        <f>25.73</f>
        <v>25.73</v>
      </c>
      <c r="C78" s="31"/>
      <c r="D78" s="32">
        <f t="shared" si="27"/>
        <v>25.73</v>
      </c>
      <c r="E78" s="33" t="str">
        <f t="shared" si="28"/>
        <v/>
      </c>
      <c r="F78" s="31"/>
      <c r="G78" s="31"/>
      <c r="H78" s="32">
        <f t="shared" si="29"/>
        <v>0</v>
      </c>
      <c r="I78" s="33" t="str">
        <f t="shared" si="30"/>
        <v/>
      </c>
      <c r="J78" s="31"/>
      <c r="K78" s="31"/>
      <c r="L78" s="32">
        <f t="shared" si="31"/>
        <v>0</v>
      </c>
      <c r="M78" s="33" t="str">
        <f t="shared" si="32"/>
        <v/>
      </c>
      <c r="N78" s="31"/>
      <c r="O78" s="31"/>
      <c r="P78" s="32">
        <f t="shared" si="33"/>
        <v>0</v>
      </c>
      <c r="Q78" s="33" t="str">
        <f t="shared" si="34"/>
        <v/>
      </c>
      <c r="R78" s="31"/>
      <c r="S78" s="31"/>
      <c r="T78" s="32">
        <f t="shared" si="35"/>
        <v>0</v>
      </c>
      <c r="U78" s="33" t="str">
        <f t="shared" si="36"/>
        <v/>
      </c>
      <c r="V78" s="31"/>
      <c r="W78" s="31"/>
      <c r="X78" s="32">
        <f t="shared" si="37"/>
        <v>0</v>
      </c>
      <c r="Y78" s="33" t="str">
        <f t="shared" si="38"/>
        <v/>
      </c>
      <c r="Z78" s="31"/>
      <c r="AA78" s="31"/>
      <c r="AB78" s="32">
        <f t="shared" si="39"/>
        <v>0</v>
      </c>
      <c r="AC78" s="33" t="str">
        <f t="shared" si="40"/>
        <v/>
      </c>
      <c r="AD78" s="31"/>
      <c r="AE78" s="31"/>
      <c r="AF78" s="32">
        <f t="shared" si="41"/>
        <v>0</v>
      </c>
      <c r="AG78" s="33" t="str">
        <f t="shared" si="42"/>
        <v/>
      </c>
      <c r="AH78" s="31"/>
      <c r="AI78" s="31"/>
      <c r="AJ78" s="32">
        <f t="shared" si="43"/>
        <v>0</v>
      </c>
      <c r="AK78" s="33" t="str">
        <f t="shared" si="44"/>
        <v/>
      </c>
      <c r="AL78" s="31"/>
      <c r="AM78" s="31"/>
      <c r="AN78" s="32">
        <f t="shared" si="45"/>
        <v>0</v>
      </c>
      <c r="AO78" s="33" t="str">
        <f t="shared" si="46"/>
        <v/>
      </c>
      <c r="AP78" s="31"/>
      <c r="AQ78" s="31"/>
      <c r="AR78" s="32">
        <f t="shared" si="47"/>
        <v>0</v>
      </c>
      <c r="AS78" s="33" t="str">
        <f t="shared" si="48"/>
        <v/>
      </c>
      <c r="AT78" s="31"/>
      <c r="AU78" s="31"/>
      <c r="AV78" s="32">
        <f t="shared" si="49"/>
        <v>0</v>
      </c>
      <c r="AW78" s="33" t="str">
        <f t="shared" si="50"/>
        <v/>
      </c>
      <c r="AX78" s="32">
        <f t="shared" si="54"/>
        <v>25.73</v>
      </c>
      <c r="AY78" s="32">
        <f t="shared" si="54"/>
        <v>0</v>
      </c>
      <c r="AZ78" s="32">
        <f t="shared" si="52"/>
        <v>25.73</v>
      </c>
      <c r="BA78" s="33" t="str">
        <f t="shared" si="53"/>
        <v/>
      </c>
    </row>
    <row r="79" spans="1:53" x14ac:dyDescent="0.3">
      <c r="A79" s="30" t="s">
        <v>155</v>
      </c>
      <c r="B79" s="31"/>
      <c r="C79" s="31"/>
      <c r="D79" s="32">
        <f t="shared" si="27"/>
        <v>0</v>
      </c>
      <c r="E79" s="33" t="str">
        <f t="shared" si="28"/>
        <v/>
      </c>
      <c r="F79" s="31"/>
      <c r="G79" s="31"/>
      <c r="H79" s="32">
        <f t="shared" si="29"/>
        <v>0</v>
      </c>
      <c r="I79" s="33" t="str">
        <f t="shared" si="30"/>
        <v/>
      </c>
      <c r="J79" s="31"/>
      <c r="K79" s="31"/>
      <c r="L79" s="32">
        <f t="shared" si="31"/>
        <v>0</v>
      </c>
      <c r="M79" s="33" t="str">
        <f t="shared" si="32"/>
        <v/>
      </c>
      <c r="N79" s="31"/>
      <c r="O79" s="31"/>
      <c r="P79" s="32">
        <f t="shared" si="33"/>
        <v>0</v>
      </c>
      <c r="Q79" s="33" t="str">
        <f t="shared" si="34"/>
        <v/>
      </c>
      <c r="R79" s="31"/>
      <c r="S79" s="31"/>
      <c r="T79" s="32">
        <f t="shared" si="35"/>
        <v>0</v>
      </c>
      <c r="U79" s="33" t="str">
        <f t="shared" si="36"/>
        <v/>
      </c>
      <c r="V79" s="31"/>
      <c r="W79" s="31"/>
      <c r="X79" s="32">
        <f t="shared" si="37"/>
        <v>0</v>
      </c>
      <c r="Y79" s="33" t="str">
        <f t="shared" si="38"/>
        <v/>
      </c>
      <c r="Z79" s="31"/>
      <c r="AA79" s="31"/>
      <c r="AB79" s="32">
        <f t="shared" si="39"/>
        <v>0</v>
      </c>
      <c r="AC79" s="33" t="str">
        <f t="shared" si="40"/>
        <v/>
      </c>
      <c r="AD79" s="31"/>
      <c r="AE79" s="31"/>
      <c r="AF79" s="32">
        <f t="shared" si="41"/>
        <v>0</v>
      </c>
      <c r="AG79" s="33" t="str">
        <f t="shared" si="42"/>
        <v/>
      </c>
      <c r="AH79" s="31"/>
      <c r="AI79" s="31"/>
      <c r="AJ79" s="32">
        <f t="shared" si="43"/>
        <v>0</v>
      </c>
      <c r="AK79" s="33" t="str">
        <f t="shared" si="44"/>
        <v/>
      </c>
      <c r="AL79" s="31"/>
      <c r="AM79" s="31"/>
      <c r="AN79" s="32">
        <f t="shared" si="45"/>
        <v>0</v>
      </c>
      <c r="AO79" s="33" t="str">
        <f t="shared" si="46"/>
        <v/>
      </c>
      <c r="AP79" s="31"/>
      <c r="AQ79" s="31"/>
      <c r="AR79" s="32">
        <f t="shared" si="47"/>
        <v>0</v>
      </c>
      <c r="AS79" s="33" t="str">
        <f t="shared" si="48"/>
        <v/>
      </c>
      <c r="AT79" s="31"/>
      <c r="AU79" s="31"/>
      <c r="AV79" s="32">
        <f t="shared" si="49"/>
        <v>0</v>
      </c>
      <c r="AW79" s="33" t="str">
        <f t="shared" si="50"/>
        <v/>
      </c>
      <c r="AX79" s="32">
        <f t="shared" si="54"/>
        <v>0</v>
      </c>
      <c r="AY79" s="32">
        <f t="shared" si="54"/>
        <v>0</v>
      </c>
      <c r="AZ79" s="32">
        <f t="shared" si="52"/>
        <v>0</v>
      </c>
      <c r="BA79" s="33" t="str">
        <f t="shared" si="53"/>
        <v/>
      </c>
    </row>
    <row r="80" spans="1:53" x14ac:dyDescent="0.3">
      <c r="A80" s="30" t="s">
        <v>156</v>
      </c>
      <c r="B80" s="32">
        <f>272.52</f>
        <v>272.52</v>
      </c>
      <c r="C80" s="32">
        <f>625</f>
        <v>625</v>
      </c>
      <c r="D80" s="32">
        <f t="shared" si="27"/>
        <v>-352.48</v>
      </c>
      <c r="E80" s="33">
        <f t="shared" si="28"/>
        <v>0.43603199999999998</v>
      </c>
      <c r="F80" s="32">
        <f>90.8</f>
        <v>90.8</v>
      </c>
      <c r="G80" s="32">
        <f>625</f>
        <v>625</v>
      </c>
      <c r="H80" s="32">
        <f t="shared" si="29"/>
        <v>-534.20000000000005</v>
      </c>
      <c r="I80" s="33">
        <f t="shared" si="30"/>
        <v>0.14527999999999999</v>
      </c>
      <c r="J80" s="32">
        <f>286.28</f>
        <v>286.27999999999997</v>
      </c>
      <c r="K80" s="32">
        <f>625</f>
        <v>625</v>
      </c>
      <c r="L80" s="32">
        <f t="shared" si="31"/>
        <v>-338.72</v>
      </c>
      <c r="M80" s="33">
        <f t="shared" si="32"/>
        <v>0.45804799999999996</v>
      </c>
      <c r="N80" s="31"/>
      <c r="O80" s="32">
        <f>625</f>
        <v>625</v>
      </c>
      <c r="P80" s="32">
        <f t="shared" si="33"/>
        <v>-625</v>
      </c>
      <c r="Q80" s="33">
        <f t="shared" si="34"/>
        <v>0</v>
      </c>
      <c r="R80" s="31"/>
      <c r="S80" s="32">
        <f>625</f>
        <v>625</v>
      </c>
      <c r="T80" s="32">
        <f t="shared" si="35"/>
        <v>-625</v>
      </c>
      <c r="U80" s="33">
        <f t="shared" si="36"/>
        <v>0</v>
      </c>
      <c r="V80" s="31"/>
      <c r="W80" s="32">
        <f>625</f>
        <v>625</v>
      </c>
      <c r="X80" s="32">
        <f t="shared" si="37"/>
        <v>-625</v>
      </c>
      <c r="Y80" s="33">
        <f t="shared" si="38"/>
        <v>0</v>
      </c>
      <c r="Z80" s="31"/>
      <c r="AA80" s="32">
        <f>625</f>
        <v>625</v>
      </c>
      <c r="AB80" s="32">
        <f t="shared" si="39"/>
        <v>-625</v>
      </c>
      <c r="AC80" s="33">
        <f t="shared" si="40"/>
        <v>0</v>
      </c>
      <c r="AD80" s="31"/>
      <c r="AE80" s="32">
        <f>625</f>
        <v>625</v>
      </c>
      <c r="AF80" s="32">
        <f t="shared" si="41"/>
        <v>-625</v>
      </c>
      <c r="AG80" s="33">
        <f t="shared" si="42"/>
        <v>0</v>
      </c>
      <c r="AH80" s="31"/>
      <c r="AI80" s="32">
        <f>625</f>
        <v>625</v>
      </c>
      <c r="AJ80" s="32">
        <f t="shared" si="43"/>
        <v>-625</v>
      </c>
      <c r="AK80" s="33">
        <f t="shared" si="44"/>
        <v>0</v>
      </c>
      <c r="AL80" s="31"/>
      <c r="AM80" s="32">
        <f>625</f>
        <v>625</v>
      </c>
      <c r="AN80" s="32">
        <f t="shared" si="45"/>
        <v>-625</v>
      </c>
      <c r="AO80" s="33">
        <f t="shared" si="46"/>
        <v>0</v>
      </c>
      <c r="AP80" s="31"/>
      <c r="AQ80" s="32">
        <f>625</f>
        <v>625</v>
      </c>
      <c r="AR80" s="32">
        <f t="shared" si="47"/>
        <v>-625</v>
      </c>
      <c r="AS80" s="33">
        <f t="shared" si="48"/>
        <v>0</v>
      </c>
      <c r="AT80" s="31"/>
      <c r="AU80" s="32">
        <f>625</f>
        <v>625</v>
      </c>
      <c r="AV80" s="32">
        <f t="shared" si="49"/>
        <v>-625</v>
      </c>
      <c r="AW80" s="33">
        <f t="shared" si="50"/>
        <v>0</v>
      </c>
      <c r="AX80" s="32">
        <f t="shared" si="54"/>
        <v>649.59999999999991</v>
      </c>
      <c r="AY80" s="32">
        <f t="shared" si="54"/>
        <v>7500</v>
      </c>
      <c r="AZ80" s="32">
        <f t="shared" si="52"/>
        <v>-6850.4</v>
      </c>
      <c r="BA80" s="33">
        <f t="shared" si="53"/>
        <v>8.661333333333332E-2</v>
      </c>
    </row>
    <row r="81" spans="1:53" x14ac:dyDescent="0.3">
      <c r="A81" s="30" t="s">
        <v>157</v>
      </c>
      <c r="B81" s="32">
        <f>26.58</f>
        <v>26.58</v>
      </c>
      <c r="C81" s="32">
        <f>416.67</f>
        <v>416.67</v>
      </c>
      <c r="D81" s="32">
        <f t="shared" si="27"/>
        <v>-390.09000000000003</v>
      </c>
      <c r="E81" s="33">
        <f t="shared" si="28"/>
        <v>6.3791489668082652E-2</v>
      </c>
      <c r="F81" s="32">
        <f>105.05</f>
        <v>105.05</v>
      </c>
      <c r="G81" s="32">
        <f>416.67</f>
        <v>416.67</v>
      </c>
      <c r="H81" s="32">
        <f t="shared" si="29"/>
        <v>-311.62</v>
      </c>
      <c r="I81" s="33">
        <f t="shared" si="30"/>
        <v>0.25211798305613553</v>
      </c>
      <c r="J81" s="32">
        <f>71.1</f>
        <v>71.099999999999994</v>
      </c>
      <c r="K81" s="32">
        <f>416.67</f>
        <v>416.67</v>
      </c>
      <c r="L81" s="32">
        <f t="shared" si="31"/>
        <v>-345.57000000000005</v>
      </c>
      <c r="M81" s="33">
        <f t="shared" si="32"/>
        <v>0.17063863489092085</v>
      </c>
      <c r="N81" s="31"/>
      <c r="O81" s="32">
        <f>416.67</f>
        <v>416.67</v>
      </c>
      <c r="P81" s="32">
        <f t="shared" si="33"/>
        <v>-416.67</v>
      </c>
      <c r="Q81" s="33">
        <f t="shared" si="34"/>
        <v>0</v>
      </c>
      <c r="R81" s="31"/>
      <c r="S81" s="32">
        <f>416.67</f>
        <v>416.67</v>
      </c>
      <c r="T81" s="32">
        <f t="shared" si="35"/>
        <v>-416.67</v>
      </c>
      <c r="U81" s="33">
        <f t="shared" si="36"/>
        <v>0</v>
      </c>
      <c r="V81" s="31"/>
      <c r="W81" s="32">
        <f>416.67</f>
        <v>416.67</v>
      </c>
      <c r="X81" s="32">
        <f t="shared" si="37"/>
        <v>-416.67</v>
      </c>
      <c r="Y81" s="33">
        <f t="shared" si="38"/>
        <v>0</v>
      </c>
      <c r="Z81" s="31"/>
      <c r="AA81" s="32">
        <f>416.67</f>
        <v>416.67</v>
      </c>
      <c r="AB81" s="32">
        <f t="shared" si="39"/>
        <v>-416.67</v>
      </c>
      <c r="AC81" s="33">
        <f t="shared" si="40"/>
        <v>0</v>
      </c>
      <c r="AD81" s="31"/>
      <c r="AE81" s="32">
        <f>416.67</f>
        <v>416.67</v>
      </c>
      <c r="AF81" s="32">
        <f t="shared" si="41"/>
        <v>-416.67</v>
      </c>
      <c r="AG81" s="33">
        <f t="shared" si="42"/>
        <v>0</v>
      </c>
      <c r="AH81" s="31"/>
      <c r="AI81" s="32">
        <f>416.67</f>
        <v>416.67</v>
      </c>
      <c r="AJ81" s="32">
        <f t="shared" si="43"/>
        <v>-416.67</v>
      </c>
      <c r="AK81" s="33">
        <f t="shared" si="44"/>
        <v>0</v>
      </c>
      <c r="AL81" s="31"/>
      <c r="AM81" s="32">
        <f>416.67</f>
        <v>416.67</v>
      </c>
      <c r="AN81" s="32">
        <f t="shared" si="45"/>
        <v>-416.67</v>
      </c>
      <c r="AO81" s="33">
        <f t="shared" si="46"/>
        <v>0</v>
      </c>
      <c r="AP81" s="31"/>
      <c r="AQ81" s="32">
        <f>416.67</f>
        <v>416.67</v>
      </c>
      <c r="AR81" s="32">
        <f t="shared" si="47"/>
        <v>-416.67</v>
      </c>
      <c r="AS81" s="33">
        <f t="shared" si="48"/>
        <v>0</v>
      </c>
      <c r="AT81" s="31"/>
      <c r="AU81" s="32">
        <f>416.63</f>
        <v>416.63</v>
      </c>
      <c r="AV81" s="32">
        <f t="shared" si="49"/>
        <v>-416.63</v>
      </c>
      <c r="AW81" s="33">
        <f t="shared" si="50"/>
        <v>0</v>
      </c>
      <c r="AX81" s="32">
        <f t="shared" si="54"/>
        <v>202.73</v>
      </c>
      <c r="AY81" s="32">
        <f t="shared" si="54"/>
        <v>5000</v>
      </c>
      <c r="AZ81" s="32">
        <f t="shared" si="52"/>
        <v>-4797.2700000000004</v>
      </c>
      <c r="BA81" s="33">
        <f t="shared" si="53"/>
        <v>4.0545999999999999E-2</v>
      </c>
    </row>
    <row r="82" spans="1:53" x14ac:dyDescent="0.3">
      <c r="A82" s="30" t="s">
        <v>158</v>
      </c>
      <c r="B82" s="32">
        <f>582.5</f>
        <v>582.5</v>
      </c>
      <c r="C82" s="32">
        <f>833.33</f>
        <v>833.33</v>
      </c>
      <c r="D82" s="32">
        <f t="shared" si="27"/>
        <v>-250.83000000000004</v>
      </c>
      <c r="E82" s="33">
        <f t="shared" si="28"/>
        <v>0.69900279601118398</v>
      </c>
      <c r="F82" s="32">
        <f>584.48</f>
        <v>584.48</v>
      </c>
      <c r="G82" s="32">
        <f>833.33</f>
        <v>833.33</v>
      </c>
      <c r="H82" s="32">
        <f t="shared" si="29"/>
        <v>-248.85000000000002</v>
      </c>
      <c r="I82" s="33">
        <f t="shared" si="30"/>
        <v>0.70137880551522203</v>
      </c>
      <c r="J82" s="32">
        <f>143.92</f>
        <v>143.91999999999999</v>
      </c>
      <c r="K82" s="32">
        <f>833.33</f>
        <v>833.33</v>
      </c>
      <c r="L82" s="32">
        <f t="shared" si="31"/>
        <v>-689.41000000000008</v>
      </c>
      <c r="M82" s="33">
        <f t="shared" si="32"/>
        <v>0.17270469081876325</v>
      </c>
      <c r="N82" s="31"/>
      <c r="O82" s="32">
        <f>833.33</f>
        <v>833.33</v>
      </c>
      <c r="P82" s="32">
        <f t="shared" si="33"/>
        <v>-833.33</v>
      </c>
      <c r="Q82" s="33">
        <f t="shared" si="34"/>
        <v>0</v>
      </c>
      <c r="R82" s="31"/>
      <c r="S82" s="32">
        <f>833.33</f>
        <v>833.33</v>
      </c>
      <c r="T82" s="32">
        <f t="shared" si="35"/>
        <v>-833.33</v>
      </c>
      <c r="U82" s="33">
        <f t="shared" si="36"/>
        <v>0</v>
      </c>
      <c r="V82" s="31"/>
      <c r="W82" s="32">
        <f>833.33</f>
        <v>833.33</v>
      </c>
      <c r="X82" s="32">
        <f t="shared" si="37"/>
        <v>-833.33</v>
      </c>
      <c r="Y82" s="33">
        <f t="shared" si="38"/>
        <v>0</v>
      </c>
      <c r="Z82" s="31"/>
      <c r="AA82" s="32">
        <f>833.33</f>
        <v>833.33</v>
      </c>
      <c r="AB82" s="32">
        <f t="shared" si="39"/>
        <v>-833.33</v>
      </c>
      <c r="AC82" s="33">
        <f t="shared" si="40"/>
        <v>0</v>
      </c>
      <c r="AD82" s="31"/>
      <c r="AE82" s="32">
        <f>833.33</f>
        <v>833.33</v>
      </c>
      <c r="AF82" s="32">
        <f t="shared" si="41"/>
        <v>-833.33</v>
      </c>
      <c r="AG82" s="33">
        <f t="shared" si="42"/>
        <v>0</v>
      </c>
      <c r="AH82" s="31"/>
      <c r="AI82" s="32">
        <f>833.33</f>
        <v>833.33</v>
      </c>
      <c r="AJ82" s="32">
        <f t="shared" si="43"/>
        <v>-833.33</v>
      </c>
      <c r="AK82" s="33">
        <f t="shared" si="44"/>
        <v>0</v>
      </c>
      <c r="AL82" s="31"/>
      <c r="AM82" s="32">
        <f>833.33</f>
        <v>833.33</v>
      </c>
      <c r="AN82" s="32">
        <f t="shared" si="45"/>
        <v>-833.33</v>
      </c>
      <c r="AO82" s="33">
        <f t="shared" si="46"/>
        <v>0</v>
      </c>
      <c r="AP82" s="31"/>
      <c r="AQ82" s="32">
        <f>833.33</f>
        <v>833.33</v>
      </c>
      <c r="AR82" s="32">
        <f t="shared" si="47"/>
        <v>-833.33</v>
      </c>
      <c r="AS82" s="33">
        <f t="shared" si="48"/>
        <v>0</v>
      </c>
      <c r="AT82" s="31"/>
      <c r="AU82" s="32">
        <f>833.37</f>
        <v>833.37</v>
      </c>
      <c r="AV82" s="32">
        <f t="shared" si="49"/>
        <v>-833.37</v>
      </c>
      <c r="AW82" s="33">
        <f t="shared" si="50"/>
        <v>0</v>
      </c>
      <c r="AX82" s="32">
        <f t="shared" si="54"/>
        <v>1310.9</v>
      </c>
      <c r="AY82" s="32">
        <f t="shared" si="54"/>
        <v>10000.000000000002</v>
      </c>
      <c r="AZ82" s="32">
        <f t="shared" si="52"/>
        <v>-8689.1000000000022</v>
      </c>
      <c r="BA82" s="33">
        <f t="shared" si="53"/>
        <v>0.13108999999999998</v>
      </c>
    </row>
    <row r="83" spans="1:53" x14ac:dyDescent="0.3">
      <c r="A83" s="30" t="s">
        <v>159</v>
      </c>
      <c r="B83" s="31"/>
      <c r="C83" s="32">
        <f>250</f>
        <v>250</v>
      </c>
      <c r="D83" s="32">
        <f t="shared" si="27"/>
        <v>-250</v>
      </c>
      <c r="E83" s="33">
        <f t="shared" si="28"/>
        <v>0</v>
      </c>
      <c r="F83" s="31"/>
      <c r="G83" s="32">
        <f>250</f>
        <v>250</v>
      </c>
      <c r="H83" s="32">
        <f t="shared" si="29"/>
        <v>-250</v>
      </c>
      <c r="I83" s="33">
        <f t="shared" si="30"/>
        <v>0</v>
      </c>
      <c r="J83" s="31"/>
      <c r="K83" s="32">
        <f>250</f>
        <v>250</v>
      </c>
      <c r="L83" s="32">
        <f t="shared" si="31"/>
        <v>-250</v>
      </c>
      <c r="M83" s="33">
        <f t="shared" si="32"/>
        <v>0</v>
      </c>
      <c r="N83" s="31"/>
      <c r="O83" s="32">
        <f>250</f>
        <v>250</v>
      </c>
      <c r="P83" s="32">
        <f t="shared" si="33"/>
        <v>-250</v>
      </c>
      <c r="Q83" s="33">
        <f t="shared" si="34"/>
        <v>0</v>
      </c>
      <c r="R83" s="31"/>
      <c r="S83" s="32">
        <f>250</f>
        <v>250</v>
      </c>
      <c r="T83" s="32">
        <f t="shared" si="35"/>
        <v>-250</v>
      </c>
      <c r="U83" s="33">
        <f t="shared" si="36"/>
        <v>0</v>
      </c>
      <c r="V83" s="31"/>
      <c r="W83" s="32">
        <f>250</f>
        <v>250</v>
      </c>
      <c r="X83" s="32">
        <f t="shared" si="37"/>
        <v>-250</v>
      </c>
      <c r="Y83" s="33">
        <f t="shared" si="38"/>
        <v>0</v>
      </c>
      <c r="Z83" s="31"/>
      <c r="AA83" s="32">
        <f>250</f>
        <v>250</v>
      </c>
      <c r="AB83" s="32">
        <f t="shared" si="39"/>
        <v>-250</v>
      </c>
      <c r="AC83" s="33">
        <f t="shared" si="40"/>
        <v>0</v>
      </c>
      <c r="AD83" s="31"/>
      <c r="AE83" s="32">
        <f>250</f>
        <v>250</v>
      </c>
      <c r="AF83" s="32">
        <f t="shared" si="41"/>
        <v>-250</v>
      </c>
      <c r="AG83" s="33">
        <f t="shared" si="42"/>
        <v>0</v>
      </c>
      <c r="AH83" s="31"/>
      <c r="AI83" s="32">
        <f>250</f>
        <v>250</v>
      </c>
      <c r="AJ83" s="32">
        <f t="shared" si="43"/>
        <v>-250</v>
      </c>
      <c r="AK83" s="33">
        <f t="shared" si="44"/>
        <v>0</v>
      </c>
      <c r="AL83" s="31"/>
      <c r="AM83" s="32">
        <f>250</f>
        <v>250</v>
      </c>
      <c r="AN83" s="32">
        <f t="shared" si="45"/>
        <v>-250</v>
      </c>
      <c r="AO83" s="33">
        <f t="shared" si="46"/>
        <v>0</v>
      </c>
      <c r="AP83" s="31"/>
      <c r="AQ83" s="32">
        <f>250</f>
        <v>250</v>
      </c>
      <c r="AR83" s="32">
        <f t="shared" si="47"/>
        <v>-250</v>
      </c>
      <c r="AS83" s="33">
        <f t="shared" si="48"/>
        <v>0</v>
      </c>
      <c r="AT83" s="31"/>
      <c r="AU83" s="32">
        <f>250</f>
        <v>250</v>
      </c>
      <c r="AV83" s="32">
        <f t="shared" si="49"/>
        <v>-250</v>
      </c>
      <c r="AW83" s="33">
        <f t="shared" si="50"/>
        <v>0</v>
      </c>
      <c r="AX83" s="32">
        <f t="shared" si="54"/>
        <v>0</v>
      </c>
      <c r="AY83" s="32">
        <f t="shared" si="54"/>
        <v>3000</v>
      </c>
      <c r="AZ83" s="32">
        <f t="shared" si="52"/>
        <v>-3000</v>
      </c>
      <c r="BA83" s="33">
        <f t="shared" si="53"/>
        <v>0</v>
      </c>
    </row>
    <row r="84" spans="1:53" x14ac:dyDescent="0.3">
      <c r="A84" s="30" t="s">
        <v>160</v>
      </c>
      <c r="B84" s="34">
        <f>((((B79)+(B80))+(B81))+(B82))+(B83)</f>
        <v>881.59999999999991</v>
      </c>
      <c r="C84" s="34">
        <f>((((C79)+(C80))+(C81))+(C82))+(C83)</f>
        <v>2125</v>
      </c>
      <c r="D84" s="34">
        <f t="shared" ref="D84:D100" si="55">(B84)-(C84)</f>
        <v>-1243.4000000000001</v>
      </c>
      <c r="E84" s="35">
        <f t="shared" ref="E84:E100" si="56">IF(C84=0,"",(B84)/(C84))</f>
        <v>0.4148705882352941</v>
      </c>
      <c r="F84" s="34">
        <f>((((F79)+(F80))+(F81))+(F82))+(F83)</f>
        <v>780.33</v>
      </c>
      <c r="G84" s="34">
        <f>((((G79)+(G80))+(G81))+(G82))+(G83)</f>
        <v>2125</v>
      </c>
      <c r="H84" s="34">
        <f t="shared" ref="H84:H100" si="57">(F84)-(G84)</f>
        <v>-1344.67</v>
      </c>
      <c r="I84" s="35">
        <f t="shared" ref="I84:I100" si="58">IF(G84=0,"",(F84)/(G84))</f>
        <v>0.36721411764705886</v>
      </c>
      <c r="J84" s="34">
        <f>((((J79)+(J80))+(J81))+(J82))+(J83)</f>
        <v>501.29999999999995</v>
      </c>
      <c r="K84" s="34">
        <f>((((K79)+(K80))+(K81))+(K82))+(K83)</f>
        <v>2125</v>
      </c>
      <c r="L84" s="34">
        <f t="shared" ref="L84:L100" si="59">(J84)-(K84)</f>
        <v>-1623.7</v>
      </c>
      <c r="M84" s="35">
        <f t="shared" ref="M84:M100" si="60">IF(K84=0,"",(J84)/(K84))</f>
        <v>0.23590588235294116</v>
      </c>
      <c r="N84" s="34">
        <f>((((N79)+(N80))+(N81))+(N82))+(N83)</f>
        <v>0</v>
      </c>
      <c r="O84" s="34">
        <f>((((O79)+(O80))+(O81))+(O82))+(O83)</f>
        <v>2125</v>
      </c>
      <c r="P84" s="34">
        <f t="shared" ref="P84:P100" si="61">(N84)-(O84)</f>
        <v>-2125</v>
      </c>
      <c r="Q84" s="35">
        <f t="shared" ref="Q84:Q100" si="62">IF(O84=0,"",(N84)/(O84))</f>
        <v>0</v>
      </c>
      <c r="R84" s="34">
        <f>((((R79)+(R80))+(R81))+(R82))+(R83)</f>
        <v>0</v>
      </c>
      <c r="S84" s="34">
        <f>((((S79)+(S80))+(S81))+(S82))+(S83)</f>
        <v>2125</v>
      </c>
      <c r="T84" s="34">
        <f t="shared" ref="T84:T100" si="63">(R84)-(S84)</f>
        <v>-2125</v>
      </c>
      <c r="U84" s="35">
        <f t="shared" ref="U84:U100" si="64">IF(S84=0,"",(R84)/(S84))</f>
        <v>0</v>
      </c>
      <c r="V84" s="34">
        <f>((((V79)+(V80))+(V81))+(V82))+(V83)</f>
        <v>0</v>
      </c>
      <c r="W84" s="34">
        <f>((((W79)+(W80))+(W81))+(W82))+(W83)</f>
        <v>2125</v>
      </c>
      <c r="X84" s="34">
        <f t="shared" ref="X84:X100" si="65">(V84)-(W84)</f>
        <v>-2125</v>
      </c>
      <c r="Y84" s="35">
        <f t="shared" ref="Y84:Y100" si="66">IF(W84=0,"",(V84)/(W84))</f>
        <v>0</v>
      </c>
      <c r="Z84" s="34">
        <f>((((Z79)+(Z80))+(Z81))+(Z82))+(Z83)</f>
        <v>0</v>
      </c>
      <c r="AA84" s="34">
        <f>((((AA79)+(AA80))+(AA81))+(AA82))+(AA83)</f>
        <v>2125</v>
      </c>
      <c r="AB84" s="34">
        <f t="shared" ref="AB84:AB100" si="67">(Z84)-(AA84)</f>
        <v>-2125</v>
      </c>
      <c r="AC84" s="35">
        <f t="shared" ref="AC84:AC100" si="68">IF(AA84=0,"",(Z84)/(AA84))</f>
        <v>0</v>
      </c>
      <c r="AD84" s="34">
        <f>((((AD79)+(AD80))+(AD81))+(AD82))+(AD83)</f>
        <v>0</v>
      </c>
      <c r="AE84" s="34">
        <f>((((AE79)+(AE80))+(AE81))+(AE82))+(AE83)</f>
        <v>2125</v>
      </c>
      <c r="AF84" s="34">
        <f t="shared" ref="AF84:AF100" si="69">(AD84)-(AE84)</f>
        <v>-2125</v>
      </c>
      <c r="AG84" s="35">
        <f t="shared" ref="AG84:AG100" si="70">IF(AE84=0,"",(AD84)/(AE84))</f>
        <v>0</v>
      </c>
      <c r="AH84" s="34">
        <f>((((AH79)+(AH80))+(AH81))+(AH82))+(AH83)</f>
        <v>0</v>
      </c>
      <c r="AI84" s="34">
        <f>((((AI79)+(AI80))+(AI81))+(AI82))+(AI83)</f>
        <v>2125</v>
      </c>
      <c r="AJ84" s="34">
        <f t="shared" ref="AJ84:AJ100" si="71">(AH84)-(AI84)</f>
        <v>-2125</v>
      </c>
      <c r="AK84" s="35">
        <f t="shared" ref="AK84:AK100" si="72">IF(AI84=0,"",(AH84)/(AI84))</f>
        <v>0</v>
      </c>
      <c r="AL84" s="34">
        <f>((((AL79)+(AL80))+(AL81))+(AL82))+(AL83)</f>
        <v>0</v>
      </c>
      <c r="AM84" s="34">
        <f>((((AM79)+(AM80))+(AM81))+(AM82))+(AM83)</f>
        <v>2125</v>
      </c>
      <c r="AN84" s="34">
        <f t="shared" ref="AN84:AN100" si="73">(AL84)-(AM84)</f>
        <v>-2125</v>
      </c>
      <c r="AO84" s="35">
        <f t="shared" ref="AO84:AO100" si="74">IF(AM84=0,"",(AL84)/(AM84))</f>
        <v>0</v>
      </c>
      <c r="AP84" s="34">
        <f>((((AP79)+(AP80))+(AP81))+(AP82))+(AP83)</f>
        <v>0</v>
      </c>
      <c r="AQ84" s="34">
        <f>((((AQ79)+(AQ80))+(AQ81))+(AQ82))+(AQ83)</f>
        <v>2125</v>
      </c>
      <c r="AR84" s="34">
        <f t="shared" ref="AR84:AR100" si="75">(AP84)-(AQ84)</f>
        <v>-2125</v>
      </c>
      <c r="AS84" s="35">
        <f t="shared" ref="AS84:AS100" si="76">IF(AQ84=0,"",(AP84)/(AQ84))</f>
        <v>0</v>
      </c>
      <c r="AT84" s="34">
        <f>((((AT79)+(AT80))+(AT81))+(AT82))+(AT83)</f>
        <v>0</v>
      </c>
      <c r="AU84" s="34">
        <f>((((AU79)+(AU80))+(AU81))+(AU82))+(AU83)</f>
        <v>2125</v>
      </c>
      <c r="AV84" s="34">
        <f t="shared" ref="AV84:AV100" si="77">(AT84)-(AU84)</f>
        <v>-2125</v>
      </c>
      <c r="AW84" s="35">
        <f t="shared" ref="AW84:AW100" si="78">IF(AU84=0,"",(AT84)/(AU84))</f>
        <v>0</v>
      </c>
      <c r="AX84" s="34">
        <f t="shared" ref="AX84:AY100" si="79">(((((((((((B84)+(F84))+(J84))+(N84))+(R84))+(V84))+(Z84))+(AD84))+(AH84))+(AL84))+(AP84))+(AT84)</f>
        <v>2163.2299999999996</v>
      </c>
      <c r="AY84" s="34">
        <f t="shared" si="79"/>
        <v>25500</v>
      </c>
      <c r="AZ84" s="34">
        <f t="shared" ref="AZ84:AZ100" si="80">(AX84)-(AY84)</f>
        <v>-23336.77</v>
      </c>
      <c r="BA84" s="35">
        <f t="shared" ref="BA84:BA100" si="81">IF(AY84=0,"",(AX84)/(AY84))</f>
        <v>8.4832549019607822E-2</v>
      </c>
    </row>
    <row r="85" spans="1:53" x14ac:dyDescent="0.3">
      <c r="A85" s="30" t="s">
        <v>161</v>
      </c>
      <c r="B85" s="32">
        <f>112.59</f>
        <v>112.59</v>
      </c>
      <c r="C85" s="32">
        <f>1916.67</f>
        <v>1916.67</v>
      </c>
      <c r="D85" s="32">
        <f t="shared" si="55"/>
        <v>-1804.0800000000002</v>
      </c>
      <c r="E85" s="33">
        <f t="shared" si="56"/>
        <v>5.8742506534771241E-2</v>
      </c>
      <c r="F85" s="32">
        <f>7092.76</f>
        <v>7092.76</v>
      </c>
      <c r="G85" s="32">
        <f>1916.67</f>
        <v>1916.67</v>
      </c>
      <c r="H85" s="32">
        <f t="shared" si="57"/>
        <v>5176.09</v>
      </c>
      <c r="I85" s="33">
        <f t="shared" si="58"/>
        <v>3.7005639990191321</v>
      </c>
      <c r="J85" s="32">
        <f>1385.6</f>
        <v>1385.6</v>
      </c>
      <c r="K85" s="32">
        <f>1916.67</f>
        <v>1916.67</v>
      </c>
      <c r="L85" s="32">
        <f t="shared" si="59"/>
        <v>-531.07000000000016</v>
      </c>
      <c r="M85" s="33">
        <f t="shared" si="60"/>
        <v>0.72292048187742275</v>
      </c>
      <c r="N85" s="31"/>
      <c r="O85" s="32">
        <f>1916.67</f>
        <v>1916.67</v>
      </c>
      <c r="P85" s="32">
        <f t="shared" si="61"/>
        <v>-1916.67</v>
      </c>
      <c r="Q85" s="33">
        <f t="shared" si="62"/>
        <v>0</v>
      </c>
      <c r="R85" s="31"/>
      <c r="S85" s="32">
        <f>1916.67</f>
        <v>1916.67</v>
      </c>
      <c r="T85" s="32">
        <f t="shared" si="63"/>
        <v>-1916.67</v>
      </c>
      <c r="U85" s="33">
        <f t="shared" si="64"/>
        <v>0</v>
      </c>
      <c r="V85" s="31"/>
      <c r="W85" s="32">
        <f>1916.67</f>
        <v>1916.67</v>
      </c>
      <c r="X85" s="32">
        <f t="shared" si="65"/>
        <v>-1916.67</v>
      </c>
      <c r="Y85" s="33">
        <f t="shared" si="66"/>
        <v>0</v>
      </c>
      <c r="Z85" s="31"/>
      <c r="AA85" s="32">
        <f>1916.67</f>
        <v>1916.67</v>
      </c>
      <c r="AB85" s="32">
        <f t="shared" si="67"/>
        <v>-1916.67</v>
      </c>
      <c r="AC85" s="33">
        <f t="shared" si="68"/>
        <v>0</v>
      </c>
      <c r="AD85" s="31"/>
      <c r="AE85" s="32">
        <f>1916.67</f>
        <v>1916.67</v>
      </c>
      <c r="AF85" s="32">
        <f t="shared" si="69"/>
        <v>-1916.67</v>
      </c>
      <c r="AG85" s="33">
        <f t="shared" si="70"/>
        <v>0</v>
      </c>
      <c r="AH85" s="31"/>
      <c r="AI85" s="32">
        <f>1916.67</f>
        <v>1916.67</v>
      </c>
      <c r="AJ85" s="32">
        <f t="shared" si="71"/>
        <v>-1916.67</v>
      </c>
      <c r="AK85" s="33">
        <f t="shared" si="72"/>
        <v>0</v>
      </c>
      <c r="AL85" s="31"/>
      <c r="AM85" s="32">
        <f>1916.67</f>
        <v>1916.67</v>
      </c>
      <c r="AN85" s="32">
        <f t="shared" si="73"/>
        <v>-1916.67</v>
      </c>
      <c r="AO85" s="33">
        <f t="shared" si="74"/>
        <v>0</v>
      </c>
      <c r="AP85" s="31"/>
      <c r="AQ85" s="32">
        <f>1916.67</f>
        <v>1916.67</v>
      </c>
      <c r="AR85" s="32">
        <f t="shared" si="75"/>
        <v>-1916.67</v>
      </c>
      <c r="AS85" s="33">
        <f t="shared" si="76"/>
        <v>0</v>
      </c>
      <c r="AT85" s="31"/>
      <c r="AU85" s="32">
        <f>1916.63</f>
        <v>1916.63</v>
      </c>
      <c r="AV85" s="32">
        <f t="shared" si="77"/>
        <v>-1916.63</v>
      </c>
      <c r="AW85" s="33">
        <f t="shared" si="78"/>
        <v>0</v>
      </c>
      <c r="AX85" s="32">
        <f t="shared" si="79"/>
        <v>8590.9500000000007</v>
      </c>
      <c r="AY85" s="32">
        <f t="shared" si="79"/>
        <v>22999.999999999996</v>
      </c>
      <c r="AZ85" s="32">
        <f t="shared" si="80"/>
        <v>-14409.049999999996</v>
      </c>
      <c r="BA85" s="33">
        <f t="shared" si="81"/>
        <v>0.37351956521739138</v>
      </c>
    </row>
    <row r="86" spans="1:53" x14ac:dyDescent="0.3">
      <c r="A86" s="30" t="s">
        <v>162</v>
      </c>
      <c r="B86" s="31"/>
      <c r="C86" s="31"/>
      <c r="D86" s="32">
        <f t="shared" si="55"/>
        <v>0</v>
      </c>
      <c r="E86" s="33" t="str">
        <f t="shared" si="56"/>
        <v/>
      </c>
      <c r="F86" s="31"/>
      <c r="G86" s="31"/>
      <c r="H86" s="32">
        <f t="shared" si="57"/>
        <v>0</v>
      </c>
      <c r="I86" s="33" t="str">
        <f t="shared" si="58"/>
        <v/>
      </c>
      <c r="J86" s="31"/>
      <c r="K86" s="31"/>
      <c r="L86" s="32">
        <f t="shared" si="59"/>
        <v>0</v>
      </c>
      <c r="M86" s="33" t="str">
        <f t="shared" si="60"/>
        <v/>
      </c>
      <c r="N86" s="31"/>
      <c r="O86" s="31"/>
      <c r="P86" s="32">
        <f t="shared" si="61"/>
        <v>0</v>
      </c>
      <c r="Q86" s="33" t="str">
        <f t="shared" si="62"/>
        <v/>
      </c>
      <c r="R86" s="31"/>
      <c r="S86" s="31"/>
      <c r="T86" s="32">
        <f t="shared" si="63"/>
        <v>0</v>
      </c>
      <c r="U86" s="33" t="str">
        <f t="shared" si="64"/>
        <v/>
      </c>
      <c r="V86" s="31"/>
      <c r="W86" s="31"/>
      <c r="X86" s="32">
        <f t="shared" si="65"/>
        <v>0</v>
      </c>
      <c r="Y86" s="33" t="str">
        <f t="shared" si="66"/>
        <v/>
      </c>
      <c r="Z86" s="31"/>
      <c r="AA86" s="31"/>
      <c r="AB86" s="32">
        <f t="shared" si="67"/>
        <v>0</v>
      </c>
      <c r="AC86" s="33" t="str">
        <f t="shared" si="68"/>
        <v/>
      </c>
      <c r="AD86" s="31"/>
      <c r="AE86" s="31"/>
      <c r="AF86" s="32">
        <f t="shared" si="69"/>
        <v>0</v>
      </c>
      <c r="AG86" s="33" t="str">
        <f t="shared" si="70"/>
        <v/>
      </c>
      <c r="AH86" s="31"/>
      <c r="AI86" s="31"/>
      <c r="AJ86" s="32">
        <f t="shared" si="71"/>
        <v>0</v>
      </c>
      <c r="AK86" s="33" t="str">
        <f t="shared" si="72"/>
        <v/>
      </c>
      <c r="AL86" s="31"/>
      <c r="AM86" s="31"/>
      <c r="AN86" s="32">
        <f t="shared" si="73"/>
        <v>0</v>
      </c>
      <c r="AO86" s="33" t="str">
        <f t="shared" si="74"/>
        <v/>
      </c>
      <c r="AP86" s="31"/>
      <c r="AQ86" s="31"/>
      <c r="AR86" s="32">
        <f t="shared" si="75"/>
        <v>0</v>
      </c>
      <c r="AS86" s="33" t="str">
        <f t="shared" si="76"/>
        <v/>
      </c>
      <c r="AT86" s="31"/>
      <c r="AU86" s="31"/>
      <c r="AV86" s="32">
        <f t="shared" si="77"/>
        <v>0</v>
      </c>
      <c r="AW86" s="33" t="str">
        <f t="shared" si="78"/>
        <v/>
      </c>
      <c r="AX86" s="32">
        <f t="shared" si="79"/>
        <v>0</v>
      </c>
      <c r="AY86" s="32">
        <f t="shared" si="79"/>
        <v>0</v>
      </c>
      <c r="AZ86" s="32">
        <f t="shared" si="80"/>
        <v>0</v>
      </c>
      <c r="BA86" s="33" t="str">
        <f t="shared" si="81"/>
        <v/>
      </c>
    </row>
    <row r="87" spans="1:53" x14ac:dyDescent="0.3">
      <c r="A87" s="30" t="s">
        <v>163</v>
      </c>
      <c r="B87" s="31"/>
      <c r="C87" s="32">
        <f>2750</f>
        <v>2750</v>
      </c>
      <c r="D87" s="32">
        <f t="shared" si="55"/>
        <v>-2750</v>
      </c>
      <c r="E87" s="33">
        <f t="shared" si="56"/>
        <v>0</v>
      </c>
      <c r="F87" s="32">
        <f>5190</f>
        <v>5190</v>
      </c>
      <c r="G87" s="32">
        <f>2750</f>
        <v>2750</v>
      </c>
      <c r="H87" s="32">
        <f t="shared" si="57"/>
        <v>2440</v>
      </c>
      <c r="I87" s="33">
        <f t="shared" si="58"/>
        <v>1.8872727272727272</v>
      </c>
      <c r="J87" s="32">
        <f>2595</f>
        <v>2595</v>
      </c>
      <c r="K87" s="32">
        <f>2750</f>
        <v>2750</v>
      </c>
      <c r="L87" s="32">
        <f t="shared" si="59"/>
        <v>-155</v>
      </c>
      <c r="M87" s="33">
        <f t="shared" si="60"/>
        <v>0.94363636363636361</v>
      </c>
      <c r="N87" s="31"/>
      <c r="O87" s="32">
        <f>2750</f>
        <v>2750</v>
      </c>
      <c r="P87" s="32">
        <f t="shared" si="61"/>
        <v>-2750</v>
      </c>
      <c r="Q87" s="33">
        <f t="shared" si="62"/>
        <v>0</v>
      </c>
      <c r="R87" s="31"/>
      <c r="S87" s="32">
        <f>2750</f>
        <v>2750</v>
      </c>
      <c r="T87" s="32">
        <f t="shared" si="63"/>
        <v>-2750</v>
      </c>
      <c r="U87" s="33">
        <f t="shared" si="64"/>
        <v>0</v>
      </c>
      <c r="V87" s="31"/>
      <c r="W87" s="32">
        <f>2750</f>
        <v>2750</v>
      </c>
      <c r="X87" s="32">
        <f t="shared" si="65"/>
        <v>-2750</v>
      </c>
      <c r="Y87" s="33">
        <f t="shared" si="66"/>
        <v>0</v>
      </c>
      <c r="Z87" s="31"/>
      <c r="AA87" s="32">
        <f>2750</f>
        <v>2750</v>
      </c>
      <c r="AB87" s="32">
        <f t="shared" si="67"/>
        <v>-2750</v>
      </c>
      <c r="AC87" s="33">
        <f t="shared" si="68"/>
        <v>0</v>
      </c>
      <c r="AD87" s="31"/>
      <c r="AE87" s="32">
        <f>2750</f>
        <v>2750</v>
      </c>
      <c r="AF87" s="32">
        <f t="shared" si="69"/>
        <v>-2750</v>
      </c>
      <c r="AG87" s="33">
        <f t="shared" si="70"/>
        <v>0</v>
      </c>
      <c r="AH87" s="31"/>
      <c r="AI87" s="32">
        <f>2750</f>
        <v>2750</v>
      </c>
      <c r="AJ87" s="32">
        <f t="shared" si="71"/>
        <v>-2750</v>
      </c>
      <c r="AK87" s="33">
        <f t="shared" si="72"/>
        <v>0</v>
      </c>
      <c r="AL87" s="31"/>
      <c r="AM87" s="32">
        <f>2750</f>
        <v>2750</v>
      </c>
      <c r="AN87" s="32">
        <f t="shared" si="73"/>
        <v>-2750</v>
      </c>
      <c r="AO87" s="33">
        <f t="shared" si="74"/>
        <v>0</v>
      </c>
      <c r="AP87" s="31"/>
      <c r="AQ87" s="32">
        <f>2750</f>
        <v>2750</v>
      </c>
      <c r="AR87" s="32">
        <f t="shared" si="75"/>
        <v>-2750</v>
      </c>
      <c r="AS87" s="33">
        <f t="shared" si="76"/>
        <v>0</v>
      </c>
      <c r="AT87" s="31"/>
      <c r="AU87" s="32">
        <f>2750</f>
        <v>2750</v>
      </c>
      <c r="AV87" s="32">
        <f t="shared" si="77"/>
        <v>-2750</v>
      </c>
      <c r="AW87" s="33">
        <f t="shared" si="78"/>
        <v>0</v>
      </c>
      <c r="AX87" s="32">
        <f t="shared" si="79"/>
        <v>7785</v>
      </c>
      <c r="AY87" s="32">
        <f t="shared" si="79"/>
        <v>33000</v>
      </c>
      <c r="AZ87" s="32">
        <f t="shared" si="80"/>
        <v>-25215</v>
      </c>
      <c r="BA87" s="33">
        <f t="shared" si="81"/>
        <v>0.2359090909090909</v>
      </c>
    </row>
    <row r="88" spans="1:53" x14ac:dyDescent="0.3">
      <c r="A88" s="30" t="s">
        <v>164</v>
      </c>
      <c r="B88" s="31"/>
      <c r="C88" s="32">
        <f>666.67</f>
        <v>666.67</v>
      </c>
      <c r="D88" s="32">
        <f t="shared" si="55"/>
        <v>-666.67</v>
      </c>
      <c r="E88" s="33">
        <f t="shared" si="56"/>
        <v>0</v>
      </c>
      <c r="F88" s="32">
        <f>338.7</f>
        <v>338.7</v>
      </c>
      <c r="G88" s="32">
        <f>666.67</f>
        <v>666.67</v>
      </c>
      <c r="H88" s="32">
        <f t="shared" si="57"/>
        <v>-327.96999999999997</v>
      </c>
      <c r="I88" s="33">
        <f t="shared" si="58"/>
        <v>0.50804745976270116</v>
      </c>
      <c r="J88" s="31"/>
      <c r="K88" s="32">
        <f>666.67</f>
        <v>666.67</v>
      </c>
      <c r="L88" s="32">
        <f t="shared" si="59"/>
        <v>-666.67</v>
      </c>
      <c r="M88" s="33">
        <f t="shared" si="60"/>
        <v>0</v>
      </c>
      <c r="N88" s="31"/>
      <c r="O88" s="32">
        <f>666.67</f>
        <v>666.67</v>
      </c>
      <c r="P88" s="32">
        <f t="shared" si="61"/>
        <v>-666.67</v>
      </c>
      <c r="Q88" s="33">
        <f t="shared" si="62"/>
        <v>0</v>
      </c>
      <c r="R88" s="31"/>
      <c r="S88" s="32">
        <f>666.67</f>
        <v>666.67</v>
      </c>
      <c r="T88" s="32">
        <f t="shared" si="63"/>
        <v>-666.67</v>
      </c>
      <c r="U88" s="33">
        <f t="shared" si="64"/>
        <v>0</v>
      </c>
      <c r="V88" s="31"/>
      <c r="W88" s="32">
        <f>666.67</f>
        <v>666.67</v>
      </c>
      <c r="X88" s="32">
        <f t="shared" si="65"/>
        <v>-666.67</v>
      </c>
      <c r="Y88" s="33">
        <f t="shared" si="66"/>
        <v>0</v>
      </c>
      <c r="Z88" s="31"/>
      <c r="AA88" s="32">
        <f>666.67</f>
        <v>666.67</v>
      </c>
      <c r="AB88" s="32">
        <f t="shared" si="67"/>
        <v>-666.67</v>
      </c>
      <c r="AC88" s="33">
        <f t="shared" si="68"/>
        <v>0</v>
      </c>
      <c r="AD88" s="31"/>
      <c r="AE88" s="32">
        <f>666.67</f>
        <v>666.67</v>
      </c>
      <c r="AF88" s="32">
        <f t="shared" si="69"/>
        <v>-666.67</v>
      </c>
      <c r="AG88" s="33">
        <f t="shared" si="70"/>
        <v>0</v>
      </c>
      <c r="AH88" s="31"/>
      <c r="AI88" s="32">
        <f>666.67</f>
        <v>666.67</v>
      </c>
      <c r="AJ88" s="32">
        <f t="shared" si="71"/>
        <v>-666.67</v>
      </c>
      <c r="AK88" s="33">
        <f t="shared" si="72"/>
        <v>0</v>
      </c>
      <c r="AL88" s="31"/>
      <c r="AM88" s="32">
        <f>666.67</f>
        <v>666.67</v>
      </c>
      <c r="AN88" s="32">
        <f t="shared" si="73"/>
        <v>-666.67</v>
      </c>
      <c r="AO88" s="33">
        <f t="shared" si="74"/>
        <v>0</v>
      </c>
      <c r="AP88" s="31"/>
      <c r="AQ88" s="32">
        <f>666.67</f>
        <v>666.67</v>
      </c>
      <c r="AR88" s="32">
        <f t="shared" si="75"/>
        <v>-666.67</v>
      </c>
      <c r="AS88" s="33">
        <f t="shared" si="76"/>
        <v>0</v>
      </c>
      <c r="AT88" s="31"/>
      <c r="AU88" s="32">
        <f>666.63</f>
        <v>666.63</v>
      </c>
      <c r="AV88" s="32">
        <f t="shared" si="77"/>
        <v>-666.63</v>
      </c>
      <c r="AW88" s="33">
        <f t="shared" si="78"/>
        <v>0</v>
      </c>
      <c r="AX88" s="32">
        <f t="shared" si="79"/>
        <v>338.7</v>
      </c>
      <c r="AY88" s="32">
        <f t="shared" si="79"/>
        <v>8000</v>
      </c>
      <c r="AZ88" s="32">
        <f t="shared" si="80"/>
        <v>-7661.3</v>
      </c>
      <c r="BA88" s="33">
        <f t="shared" si="81"/>
        <v>4.23375E-2</v>
      </c>
    </row>
    <row r="89" spans="1:53" x14ac:dyDescent="0.3">
      <c r="A89" s="30" t="s">
        <v>165</v>
      </c>
      <c r="B89" s="32">
        <f>3280</f>
        <v>3280</v>
      </c>
      <c r="C89" s="32">
        <f>316.67</f>
        <v>316.67</v>
      </c>
      <c r="D89" s="32">
        <f t="shared" si="55"/>
        <v>2963.33</v>
      </c>
      <c r="E89" s="33">
        <f t="shared" si="56"/>
        <v>10.357785707518868</v>
      </c>
      <c r="F89" s="31"/>
      <c r="G89" s="32">
        <f>316.67</f>
        <v>316.67</v>
      </c>
      <c r="H89" s="32">
        <f t="shared" si="57"/>
        <v>-316.67</v>
      </c>
      <c r="I89" s="33">
        <f t="shared" si="58"/>
        <v>0</v>
      </c>
      <c r="J89" s="31"/>
      <c r="K89" s="32">
        <f>316.67</f>
        <v>316.67</v>
      </c>
      <c r="L89" s="32">
        <f t="shared" si="59"/>
        <v>-316.67</v>
      </c>
      <c r="M89" s="33">
        <f t="shared" si="60"/>
        <v>0</v>
      </c>
      <c r="N89" s="31"/>
      <c r="O89" s="32">
        <f>316.67</f>
        <v>316.67</v>
      </c>
      <c r="P89" s="32">
        <f t="shared" si="61"/>
        <v>-316.67</v>
      </c>
      <c r="Q89" s="33">
        <f t="shared" si="62"/>
        <v>0</v>
      </c>
      <c r="R89" s="31"/>
      <c r="S89" s="32">
        <f>316.67</f>
        <v>316.67</v>
      </c>
      <c r="T89" s="32">
        <f t="shared" si="63"/>
        <v>-316.67</v>
      </c>
      <c r="U89" s="33">
        <f t="shared" si="64"/>
        <v>0</v>
      </c>
      <c r="V89" s="31"/>
      <c r="W89" s="32">
        <f>316.67</f>
        <v>316.67</v>
      </c>
      <c r="X89" s="32">
        <f t="shared" si="65"/>
        <v>-316.67</v>
      </c>
      <c r="Y89" s="33">
        <f t="shared" si="66"/>
        <v>0</v>
      </c>
      <c r="Z89" s="31"/>
      <c r="AA89" s="32">
        <f>316.67</f>
        <v>316.67</v>
      </c>
      <c r="AB89" s="32">
        <f t="shared" si="67"/>
        <v>-316.67</v>
      </c>
      <c r="AC89" s="33">
        <f t="shared" si="68"/>
        <v>0</v>
      </c>
      <c r="AD89" s="31"/>
      <c r="AE89" s="32">
        <f>316.67</f>
        <v>316.67</v>
      </c>
      <c r="AF89" s="32">
        <f t="shared" si="69"/>
        <v>-316.67</v>
      </c>
      <c r="AG89" s="33">
        <f t="shared" si="70"/>
        <v>0</v>
      </c>
      <c r="AH89" s="31"/>
      <c r="AI89" s="32">
        <f>316.67</f>
        <v>316.67</v>
      </c>
      <c r="AJ89" s="32">
        <f t="shared" si="71"/>
        <v>-316.67</v>
      </c>
      <c r="AK89" s="33">
        <f t="shared" si="72"/>
        <v>0</v>
      </c>
      <c r="AL89" s="31"/>
      <c r="AM89" s="32">
        <f>316.67</f>
        <v>316.67</v>
      </c>
      <c r="AN89" s="32">
        <f t="shared" si="73"/>
        <v>-316.67</v>
      </c>
      <c r="AO89" s="33">
        <f t="shared" si="74"/>
        <v>0</v>
      </c>
      <c r="AP89" s="31"/>
      <c r="AQ89" s="32">
        <f>316.67</f>
        <v>316.67</v>
      </c>
      <c r="AR89" s="32">
        <f t="shared" si="75"/>
        <v>-316.67</v>
      </c>
      <c r="AS89" s="33">
        <f t="shared" si="76"/>
        <v>0</v>
      </c>
      <c r="AT89" s="31"/>
      <c r="AU89" s="32">
        <f>316.63</f>
        <v>316.63</v>
      </c>
      <c r="AV89" s="32">
        <f t="shared" si="77"/>
        <v>-316.63</v>
      </c>
      <c r="AW89" s="33">
        <f t="shared" si="78"/>
        <v>0</v>
      </c>
      <c r="AX89" s="32">
        <f t="shared" si="79"/>
        <v>3280</v>
      </c>
      <c r="AY89" s="32">
        <f t="shared" si="79"/>
        <v>3800.0000000000005</v>
      </c>
      <c r="AZ89" s="32">
        <f t="shared" si="80"/>
        <v>-520.00000000000045</v>
      </c>
      <c r="BA89" s="33">
        <f t="shared" si="81"/>
        <v>0.86315789473684201</v>
      </c>
    </row>
    <row r="90" spans="1:53" x14ac:dyDescent="0.3">
      <c r="A90" s="30" t="s">
        <v>166</v>
      </c>
      <c r="B90" s="31"/>
      <c r="C90" s="32">
        <f>125</f>
        <v>125</v>
      </c>
      <c r="D90" s="32">
        <f t="shared" si="55"/>
        <v>-125</v>
      </c>
      <c r="E90" s="33">
        <f t="shared" si="56"/>
        <v>0</v>
      </c>
      <c r="F90" s="32">
        <f>97.51</f>
        <v>97.51</v>
      </c>
      <c r="G90" s="32">
        <f>125</f>
        <v>125</v>
      </c>
      <c r="H90" s="32">
        <f t="shared" si="57"/>
        <v>-27.489999999999995</v>
      </c>
      <c r="I90" s="33">
        <f t="shared" si="58"/>
        <v>0.78008</v>
      </c>
      <c r="J90" s="31"/>
      <c r="K90" s="32">
        <f>125</f>
        <v>125</v>
      </c>
      <c r="L90" s="32">
        <f t="shared" si="59"/>
        <v>-125</v>
      </c>
      <c r="M90" s="33">
        <f t="shared" si="60"/>
        <v>0</v>
      </c>
      <c r="N90" s="31"/>
      <c r="O90" s="32">
        <f>125</f>
        <v>125</v>
      </c>
      <c r="P90" s="32">
        <f t="shared" si="61"/>
        <v>-125</v>
      </c>
      <c r="Q90" s="33">
        <f t="shared" si="62"/>
        <v>0</v>
      </c>
      <c r="R90" s="31"/>
      <c r="S90" s="32">
        <f>125</f>
        <v>125</v>
      </c>
      <c r="T90" s="32">
        <f t="shared" si="63"/>
        <v>-125</v>
      </c>
      <c r="U90" s="33">
        <f t="shared" si="64"/>
        <v>0</v>
      </c>
      <c r="V90" s="31"/>
      <c r="W90" s="32">
        <f>125</f>
        <v>125</v>
      </c>
      <c r="X90" s="32">
        <f t="shared" si="65"/>
        <v>-125</v>
      </c>
      <c r="Y90" s="33">
        <f t="shared" si="66"/>
        <v>0</v>
      </c>
      <c r="Z90" s="31"/>
      <c r="AA90" s="32">
        <f>125</f>
        <v>125</v>
      </c>
      <c r="AB90" s="32">
        <f t="shared" si="67"/>
        <v>-125</v>
      </c>
      <c r="AC90" s="33">
        <f t="shared" si="68"/>
        <v>0</v>
      </c>
      <c r="AD90" s="31"/>
      <c r="AE90" s="32">
        <f>125</f>
        <v>125</v>
      </c>
      <c r="AF90" s="32">
        <f t="shared" si="69"/>
        <v>-125</v>
      </c>
      <c r="AG90" s="33">
        <f t="shared" si="70"/>
        <v>0</v>
      </c>
      <c r="AH90" s="31"/>
      <c r="AI90" s="32">
        <f>125</f>
        <v>125</v>
      </c>
      <c r="AJ90" s="32">
        <f t="shared" si="71"/>
        <v>-125</v>
      </c>
      <c r="AK90" s="33">
        <f t="shared" si="72"/>
        <v>0</v>
      </c>
      <c r="AL90" s="31"/>
      <c r="AM90" s="32">
        <f>125</f>
        <v>125</v>
      </c>
      <c r="AN90" s="32">
        <f t="shared" si="73"/>
        <v>-125</v>
      </c>
      <c r="AO90" s="33">
        <f t="shared" si="74"/>
        <v>0</v>
      </c>
      <c r="AP90" s="31"/>
      <c r="AQ90" s="32">
        <f>125</f>
        <v>125</v>
      </c>
      <c r="AR90" s="32">
        <f t="shared" si="75"/>
        <v>-125</v>
      </c>
      <c r="AS90" s="33">
        <f t="shared" si="76"/>
        <v>0</v>
      </c>
      <c r="AT90" s="31"/>
      <c r="AU90" s="32">
        <f>125</f>
        <v>125</v>
      </c>
      <c r="AV90" s="32">
        <f t="shared" si="77"/>
        <v>-125</v>
      </c>
      <c r="AW90" s="33">
        <f t="shared" si="78"/>
        <v>0</v>
      </c>
      <c r="AX90" s="32">
        <f t="shared" si="79"/>
        <v>97.51</v>
      </c>
      <c r="AY90" s="32">
        <f t="shared" si="79"/>
        <v>1500</v>
      </c>
      <c r="AZ90" s="32">
        <f t="shared" si="80"/>
        <v>-1402.49</v>
      </c>
      <c r="BA90" s="33">
        <f t="shared" si="81"/>
        <v>6.5006666666666671E-2</v>
      </c>
    </row>
    <row r="91" spans="1:53" x14ac:dyDescent="0.3">
      <c r="A91" s="30" t="s">
        <v>167</v>
      </c>
      <c r="B91" s="32">
        <f>66.97</f>
        <v>66.97</v>
      </c>
      <c r="C91" s="32">
        <f>1500</f>
        <v>1500</v>
      </c>
      <c r="D91" s="32">
        <f t="shared" si="55"/>
        <v>-1433.03</v>
      </c>
      <c r="E91" s="33">
        <f t="shared" si="56"/>
        <v>4.4646666666666668E-2</v>
      </c>
      <c r="F91" s="32">
        <f>389.18</f>
        <v>389.18</v>
      </c>
      <c r="G91" s="32">
        <f>1500</f>
        <v>1500</v>
      </c>
      <c r="H91" s="32">
        <f t="shared" si="57"/>
        <v>-1110.82</v>
      </c>
      <c r="I91" s="33">
        <f t="shared" si="58"/>
        <v>0.25945333333333331</v>
      </c>
      <c r="J91" s="32">
        <f>1018.9</f>
        <v>1018.9</v>
      </c>
      <c r="K91" s="32">
        <f>1500</f>
        <v>1500</v>
      </c>
      <c r="L91" s="32">
        <f t="shared" si="59"/>
        <v>-481.1</v>
      </c>
      <c r="M91" s="33">
        <f t="shared" si="60"/>
        <v>0.67926666666666669</v>
      </c>
      <c r="N91" s="31"/>
      <c r="O91" s="32">
        <f>1500</f>
        <v>1500</v>
      </c>
      <c r="P91" s="32">
        <f t="shared" si="61"/>
        <v>-1500</v>
      </c>
      <c r="Q91" s="33">
        <f t="shared" si="62"/>
        <v>0</v>
      </c>
      <c r="R91" s="31"/>
      <c r="S91" s="32">
        <f>1500</f>
        <v>1500</v>
      </c>
      <c r="T91" s="32">
        <f t="shared" si="63"/>
        <v>-1500</v>
      </c>
      <c r="U91" s="33">
        <f t="shared" si="64"/>
        <v>0</v>
      </c>
      <c r="V91" s="31"/>
      <c r="W91" s="32">
        <f>1500</f>
        <v>1500</v>
      </c>
      <c r="X91" s="32">
        <f t="shared" si="65"/>
        <v>-1500</v>
      </c>
      <c r="Y91" s="33">
        <f t="shared" si="66"/>
        <v>0</v>
      </c>
      <c r="Z91" s="31"/>
      <c r="AA91" s="32">
        <f>1500</f>
        <v>1500</v>
      </c>
      <c r="AB91" s="32">
        <f t="shared" si="67"/>
        <v>-1500</v>
      </c>
      <c r="AC91" s="33">
        <f t="shared" si="68"/>
        <v>0</v>
      </c>
      <c r="AD91" s="31"/>
      <c r="AE91" s="32">
        <f>1500</f>
        <v>1500</v>
      </c>
      <c r="AF91" s="32">
        <f t="shared" si="69"/>
        <v>-1500</v>
      </c>
      <c r="AG91" s="33">
        <f t="shared" si="70"/>
        <v>0</v>
      </c>
      <c r="AH91" s="31"/>
      <c r="AI91" s="32">
        <f>1500</f>
        <v>1500</v>
      </c>
      <c r="AJ91" s="32">
        <f t="shared" si="71"/>
        <v>-1500</v>
      </c>
      <c r="AK91" s="33">
        <f t="shared" si="72"/>
        <v>0</v>
      </c>
      <c r="AL91" s="31"/>
      <c r="AM91" s="32">
        <f>1500</f>
        <v>1500</v>
      </c>
      <c r="AN91" s="32">
        <f t="shared" si="73"/>
        <v>-1500</v>
      </c>
      <c r="AO91" s="33">
        <f t="shared" si="74"/>
        <v>0</v>
      </c>
      <c r="AP91" s="31"/>
      <c r="AQ91" s="32">
        <f>1500</f>
        <v>1500</v>
      </c>
      <c r="AR91" s="32">
        <f t="shared" si="75"/>
        <v>-1500</v>
      </c>
      <c r="AS91" s="33">
        <f t="shared" si="76"/>
        <v>0</v>
      </c>
      <c r="AT91" s="31"/>
      <c r="AU91" s="32">
        <f>1500</f>
        <v>1500</v>
      </c>
      <c r="AV91" s="32">
        <f t="shared" si="77"/>
        <v>-1500</v>
      </c>
      <c r="AW91" s="33">
        <f t="shared" si="78"/>
        <v>0</v>
      </c>
      <c r="AX91" s="32">
        <f t="shared" si="79"/>
        <v>1475.05</v>
      </c>
      <c r="AY91" s="32">
        <f t="shared" si="79"/>
        <v>18000</v>
      </c>
      <c r="AZ91" s="32">
        <f t="shared" si="80"/>
        <v>-16524.95</v>
      </c>
      <c r="BA91" s="33">
        <f t="shared" si="81"/>
        <v>8.1947222222222213E-2</v>
      </c>
    </row>
    <row r="92" spans="1:53" x14ac:dyDescent="0.3">
      <c r="A92" s="30" t="s">
        <v>168</v>
      </c>
      <c r="B92" s="34">
        <f>(((((B86)+(B87))+(B88))+(B89))+(B90))+(B91)</f>
        <v>3346.97</v>
      </c>
      <c r="C92" s="34">
        <f>(((((C86)+(C87))+(C88))+(C89))+(C90))+(C91)</f>
        <v>5358.34</v>
      </c>
      <c r="D92" s="34">
        <f t="shared" si="55"/>
        <v>-2011.3700000000003</v>
      </c>
      <c r="E92" s="35">
        <f t="shared" si="56"/>
        <v>0.62462814976279957</v>
      </c>
      <c r="F92" s="34">
        <f>(((((F86)+(F87))+(F88))+(F89))+(F90))+(F91)</f>
        <v>6015.39</v>
      </c>
      <c r="G92" s="34">
        <f>(((((G86)+(G87))+(G88))+(G89))+(G90))+(G91)</f>
        <v>5358.34</v>
      </c>
      <c r="H92" s="34">
        <f t="shared" si="57"/>
        <v>657.05000000000018</v>
      </c>
      <c r="I92" s="35">
        <f t="shared" si="58"/>
        <v>1.1226219314190589</v>
      </c>
      <c r="J92" s="34">
        <f>(((((J86)+(J87))+(J88))+(J89))+(J90))+(J91)</f>
        <v>3613.9</v>
      </c>
      <c r="K92" s="34">
        <f>(((((K86)+(K87))+(K88))+(K89))+(K90))+(K91)</f>
        <v>5358.34</v>
      </c>
      <c r="L92" s="34">
        <f t="shared" si="59"/>
        <v>-1744.44</v>
      </c>
      <c r="M92" s="35">
        <f t="shared" si="60"/>
        <v>0.6744439509250999</v>
      </c>
      <c r="N92" s="34">
        <f>(((((N86)+(N87))+(N88))+(N89))+(N90))+(N91)</f>
        <v>0</v>
      </c>
      <c r="O92" s="34">
        <f>(((((O86)+(O87))+(O88))+(O89))+(O90))+(O91)</f>
        <v>5358.34</v>
      </c>
      <c r="P92" s="34">
        <f t="shared" si="61"/>
        <v>-5358.34</v>
      </c>
      <c r="Q92" s="35">
        <f t="shared" si="62"/>
        <v>0</v>
      </c>
      <c r="R92" s="34">
        <f>(((((R86)+(R87))+(R88))+(R89))+(R90))+(R91)</f>
        <v>0</v>
      </c>
      <c r="S92" s="34">
        <f>(((((S86)+(S87))+(S88))+(S89))+(S90))+(S91)</f>
        <v>5358.34</v>
      </c>
      <c r="T92" s="34">
        <f t="shared" si="63"/>
        <v>-5358.34</v>
      </c>
      <c r="U92" s="35">
        <f t="shared" si="64"/>
        <v>0</v>
      </c>
      <c r="V92" s="34">
        <f>(((((V86)+(V87))+(V88))+(V89))+(V90))+(V91)</f>
        <v>0</v>
      </c>
      <c r="W92" s="34">
        <f>(((((W86)+(W87))+(W88))+(W89))+(W90))+(W91)</f>
        <v>5358.34</v>
      </c>
      <c r="X92" s="34">
        <f t="shared" si="65"/>
        <v>-5358.34</v>
      </c>
      <c r="Y92" s="35">
        <f t="shared" si="66"/>
        <v>0</v>
      </c>
      <c r="Z92" s="34">
        <f>(((((Z86)+(Z87))+(Z88))+(Z89))+(Z90))+(Z91)</f>
        <v>0</v>
      </c>
      <c r="AA92" s="34">
        <f>(((((AA86)+(AA87))+(AA88))+(AA89))+(AA90))+(AA91)</f>
        <v>5358.34</v>
      </c>
      <c r="AB92" s="34">
        <f t="shared" si="67"/>
        <v>-5358.34</v>
      </c>
      <c r="AC92" s="35">
        <f t="shared" si="68"/>
        <v>0</v>
      </c>
      <c r="AD92" s="34">
        <f>(((((AD86)+(AD87))+(AD88))+(AD89))+(AD90))+(AD91)</f>
        <v>0</v>
      </c>
      <c r="AE92" s="34">
        <f>(((((AE86)+(AE87))+(AE88))+(AE89))+(AE90))+(AE91)</f>
        <v>5358.34</v>
      </c>
      <c r="AF92" s="34">
        <f t="shared" si="69"/>
        <v>-5358.34</v>
      </c>
      <c r="AG92" s="35">
        <f t="shared" si="70"/>
        <v>0</v>
      </c>
      <c r="AH92" s="34">
        <f>(((((AH86)+(AH87))+(AH88))+(AH89))+(AH90))+(AH91)</f>
        <v>0</v>
      </c>
      <c r="AI92" s="34">
        <f>(((((AI86)+(AI87))+(AI88))+(AI89))+(AI90))+(AI91)</f>
        <v>5358.34</v>
      </c>
      <c r="AJ92" s="34">
        <f t="shared" si="71"/>
        <v>-5358.34</v>
      </c>
      <c r="AK92" s="35">
        <f t="shared" si="72"/>
        <v>0</v>
      </c>
      <c r="AL92" s="34">
        <f>(((((AL86)+(AL87))+(AL88))+(AL89))+(AL90))+(AL91)</f>
        <v>0</v>
      </c>
      <c r="AM92" s="34">
        <f>(((((AM86)+(AM87))+(AM88))+(AM89))+(AM90))+(AM91)</f>
        <v>5358.34</v>
      </c>
      <c r="AN92" s="34">
        <f t="shared" si="73"/>
        <v>-5358.34</v>
      </c>
      <c r="AO92" s="35">
        <f t="shared" si="74"/>
        <v>0</v>
      </c>
      <c r="AP92" s="34">
        <f>(((((AP86)+(AP87))+(AP88))+(AP89))+(AP90))+(AP91)</f>
        <v>0</v>
      </c>
      <c r="AQ92" s="34">
        <f>(((((AQ86)+(AQ87))+(AQ88))+(AQ89))+(AQ90))+(AQ91)</f>
        <v>5358.34</v>
      </c>
      <c r="AR92" s="34">
        <f t="shared" si="75"/>
        <v>-5358.34</v>
      </c>
      <c r="AS92" s="35">
        <f t="shared" si="76"/>
        <v>0</v>
      </c>
      <c r="AT92" s="34">
        <f>(((((AT86)+(AT87))+(AT88))+(AT89))+(AT90))+(AT91)</f>
        <v>0</v>
      </c>
      <c r="AU92" s="34">
        <f>(((((AU86)+(AU87))+(AU88))+(AU89))+(AU90))+(AU91)</f>
        <v>5358.26</v>
      </c>
      <c r="AV92" s="34">
        <f t="shared" si="77"/>
        <v>-5358.26</v>
      </c>
      <c r="AW92" s="35">
        <f t="shared" si="78"/>
        <v>0</v>
      </c>
      <c r="AX92" s="34">
        <f t="shared" si="79"/>
        <v>12976.26</v>
      </c>
      <c r="AY92" s="34">
        <f t="shared" si="79"/>
        <v>64299.999999999993</v>
      </c>
      <c r="AZ92" s="34">
        <f t="shared" si="80"/>
        <v>-51323.739999999991</v>
      </c>
      <c r="BA92" s="35">
        <f t="shared" si="81"/>
        <v>0.2018080870917574</v>
      </c>
    </row>
    <row r="93" spans="1:53" x14ac:dyDescent="0.3">
      <c r="A93" s="30" t="s">
        <v>169</v>
      </c>
      <c r="B93" s="31"/>
      <c r="C93" s="31"/>
      <c r="D93" s="32">
        <f t="shared" si="55"/>
        <v>0</v>
      </c>
      <c r="E93" s="33" t="str">
        <f t="shared" si="56"/>
        <v/>
      </c>
      <c r="F93" s="31"/>
      <c r="G93" s="31"/>
      <c r="H93" s="32">
        <f t="shared" si="57"/>
        <v>0</v>
      </c>
      <c r="I93" s="33" t="str">
        <f t="shared" si="58"/>
        <v/>
      </c>
      <c r="J93" s="31"/>
      <c r="K93" s="31"/>
      <c r="L93" s="32">
        <f t="shared" si="59"/>
        <v>0</v>
      </c>
      <c r="M93" s="33" t="str">
        <f t="shared" si="60"/>
        <v/>
      </c>
      <c r="N93" s="31"/>
      <c r="O93" s="31"/>
      <c r="P93" s="32">
        <f t="shared" si="61"/>
        <v>0</v>
      </c>
      <c r="Q93" s="33" t="str">
        <f t="shared" si="62"/>
        <v/>
      </c>
      <c r="R93" s="31"/>
      <c r="S93" s="31"/>
      <c r="T93" s="32">
        <f t="shared" si="63"/>
        <v>0</v>
      </c>
      <c r="U93" s="33" t="str">
        <f t="shared" si="64"/>
        <v/>
      </c>
      <c r="V93" s="31"/>
      <c r="W93" s="31"/>
      <c r="X93" s="32">
        <f t="shared" si="65"/>
        <v>0</v>
      </c>
      <c r="Y93" s="33" t="str">
        <f t="shared" si="66"/>
        <v/>
      </c>
      <c r="Z93" s="31"/>
      <c r="AA93" s="31"/>
      <c r="AB93" s="32">
        <f t="shared" si="67"/>
        <v>0</v>
      </c>
      <c r="AC93" s="33" t="str">
        <f t="shared" si="68"/>
        <v/>
      </c>
      <c r="AD93" s="31"/>
      <c r="AE93" s="31"/>
      <c r="AF93" s="32">
        <f t="shared" si="69"/>
        <v>0</v>
      </c>
      <c r="AG93" s="33" t="str">
        <f t="shared" si="70"/>
        <v/>
      </c>
      <c r="AH93" s="31"/>
      <c r="AI93" s="31"/>
      <c r="AJ93" s="32">
        <f t="shared" si="71"/>
        <v>0</v>
      </c>
      <c r="AK93" s="33" t="str">
        <f t="shared" si="72"/>
        <v/>
      </c>
      <c r="AL93" s="31"/>
      <c r="AM93" s="31"/>
      <c r="AN93" s="32">
        <f t="shared" si="73"/>
        <v>0</v>
      </c>
      <c r="AO93" s="33" t="str">
        <f t="shared" si="74"/>
        <v/>
      </c>
      <c r="AP93" s="31"/>
      <c r="AQ93" s="31"/>
      <c r="AR93" s="32">
        <f t="shared" si="75"/>
        <v>0</v>
      </c>
      <c r="AS93" s="33" t="str">
        <f t="shared" si="76"/>
        <v/>
      </c>
      <c r="AT93" s="31"/>
      <c r="AU93" s="31"/>
      <c r="AV93" s="32">
        <f t="shared" si="77"/>
        <v>0</v>
      </c>
      <c r="AW93" s="33" t="str">
        <f t="shared" si="78"/>
        <v/>
      </c>
      <c r="AX93" s="32">
        <f t="shared" si="79"/>
        <v>0</v>
      </c>
      <c r="AY93" s="32">
        <f t="shared" si="79"/>
        <v>0</v>
      </c>
      <c r="AZ93" s="32">
        <f t="shared" si="80"/>
        <v>0</v>
      </c>
      <c r="BA93" s="33" t="str">
        <f t="shared" si="81"/>
        <v/>
      </c>
    </row>
    <row r="94" spans="1:53" x14ac:dyDescent="0.3">
      <c r="A94" s="30" t="s">
        <v>170</v>
      </c>
      <c r="B94" s="32">
        <f>473.75</f>
        <v>473.75</v>
      </c>
      <c r="C94" s="32">
        <f>666.67</f>
        <v>666.67</v>
      </c>
      <c r="D94" s="32">
        <f t="shared" si="55"/>
        <v>-192.91999999999996</v>
      </c>
      <c r="E94" s="33">
        <f t="shared" si="56"/>
        <v>0.71062144689276563</v>
      </c>
      <c r="F94" s="32">
        <f>473.75</f>
        <v>473.75</v>
      </c>
      <c r="G94" s="32">
        <f>666.67</f>
        <v>666.67</v>
      </c>
      <c r="H94" s="32">
        <f t="shared" si="57"/>
        <v>-192.91999999999996</v>
      </c>
      <c r="I94" s="33">
        <f t="shared" si="58"/>
        <v>0.71062144689276563</v>
      </c>
      <c r="J94" s="32">
        <f>473.75</f>
        <v>473.75</v>
      </c>
      <c r="K94" s="32">
        <f>666.67</f>
        <v>666.67</v>
      </c>
      <c r="L94" s="32">
        <f t="shared" si="59"/>
        <v>-192.91999999999996</v>
      </c>
      <c r="M94" s="33">
        <f t="shared" si="60"/>
        <v>0.71062144689276563</v>
      </c>
      <c r="N94" s="31"/>
      <c r="O94" s="32">
        <f>666.67</f>
        <v>666.67</v>
      </c>
      <c r="P94" s="32">
        <f t="shared" si="61"/>
        <v>-666.67</v>
      </c>
      <c r="Q94" s="33">
        <f t="shared" si="62"/>
        <v>0</v>
      </c>
      <c r="R94" s="31"/>
      <c r="S94" s="32">
        <f>666.67</f>
        <v>666.67</v>
      </c>
      <c r="T94" s="32">
        <f t="shared" si="63"/>
        <v>-666.67</v>
      </c>
      <c r="U94" s="33">
        <f t="shared" si="64"/>
        <v>0</v>
      </c>
      <c r="V94" s="31"/>
      <c r="W94" s="32">
        <f>666.67</f>
        <v>666.67</v>
      </c>
      <c r="X94" s="32">
        <f t="shared" si="65"/>
        <v>-666.67</v>
      </c>
      <c r="Y94" s="33">
        <f t="shared" si="66"/>
        <v>0</v>
      </c>
      <c r="Z94" s="31"/>
      <c r="AA94" s="32">
        <f>666.67</f>
        <v>666.67</v>
      </c>
      <c r="AB94" s="32">
        <f t="shared" si="67"/>
        <v>-666.67</v>
      </c>
      <c r="AC94" s="33">
        <f t="shared" si="68"/>
        <v>0</v>
      </c>
      <c r="AD94" s="31"/>
      <c r="AE94" s="32">
        <f>666.67</f>
        <v>666.67</v>
      </c>
      <c r="AF94" s="32">
        <f t="shared" si="69"/>
        <v>-666.67</v>
      </c>
      <c r="AG94" s="33">
        <f t="shared" si="70"/>
        <v>0</v>
      </c>
      <c r="AH94" s="31"/>
      <c r="AI94" s="32">
        <f>666.67</f>
        <v>666.67</v>
      </c>
      <c r="AJ94" s="32">
        <f t="shared" si="71"/>
        <v>-666.67</v>
      </c>
      <c r="AK94" s="33">
        <f t="shared" si="72"/>
        <v>0</v>
      </c>
      <c r="AL94" s="31"/>
      <c r="AM94" s="32">
        <f>666.67</f>
        <v>666.67</v>
      </c>
      <c r="AN94" s="32">
        <f t="shared" si="73"/>
        <v>-666.67</v>
      </c>
      <c r="AO94" s="33">
        <f t="shared" si="74"/>
        <v>0</v>
      </c>
      <c r="AP94" s="31"/>
      <c r="AQ94" s="32">
        <f>666.67</f>
        <v>666.67</v>
      </c>
      <c r="AR94" s="32">
        <f t="shared" si="75"/>
        <v>-666.67</v>
      </c>
      <c r="AS94" s="33">
        <f t="shared" si="76"/>
        <v>0</v>
      </c>
      <c r="AT94" s="31"/>
      <c r="AU94" s="32">
        <f>666.63</f>
        <v>666.63</v>
      </c>
      <c r="AV94" s="32">
        <f t="shared" si="77"/>
        <v>-666.63</v>
      </c>
      <c r="AW94" s="33">
        <f t="shared" si="78"/>
        <v>0</v>
      </c>
      <c r="AX94" s="32">
        <f t="shared" si="79"/>
        <v>1421.25</v>
      </c>
      <c r="AY94" s="32">
        <f t="shared" si="79"/>
        <v>8000</v>
      </c>
      <c r="AZ94" s="32">
        <f t="shared" si="80"/>
        <v>-6578.75</v>
      </c>
      <c r="BA94" s="33">
        <f t="shared" si="81"/>
        <v>0.17765624999999999</v>
      </c>
    </row>
    <row r="95" spans="1:53" x14ac:dyDescent="0.3">
      <c r="A95" s="30" t="s">
        <v>171</v>
      </c>
      <c r="B95" s="31"/>
      <c r="C95" s="32">
        <f>1166.67</f>
        <v>1166.67</v>
      </c>
      <c r="D95" s="32">
        <f t="shared" si="55"/>
        <v>-1166.67</v>
      </c>
      <c r="E95" s="33">
        <f t="shared" si="56"/>
        <v>0</v>
      </c>
      <c r="F95" s="32">
        <f>1126.87</f>
        <v>1126.8699999999999</v>
      </c>
      <c r="G95" s="32">
        <f>1166.67</f>
        <v>1166.67</v>
      </c>
      <c r="H95" s="32">
        <f t="shared" si="57"/>
        <v>-39.800000000000182</v>
      </c>
      <c r="I95" s="33">
        <f t="shared" si="58"/>
        <v>0.96588581175482335</v>
      </c>
      <c r="J95" s="32">
        <f>955.49</f>
        <v>955.49</v>
      </c>
      <c r="K95" s="32">
        <f>1166.67</f>
        <v>1166.67</v>
      </c>
      <c r="L95" s="32">
        <f t="shared" si="59"/>
        <v>-211.18000000000006</v>
      </c>
      <c r="M95" s="33">
        <f t="shared" si="60"/>
        <v>0.818989088602604</v>
      </c>
      <c r="N95" s="31"/>
      <c r="O95" s="32">
        <f>1166.67</f>
        <v>1166.67</v>
      </c>
      <c r="P95" s="32">
        <f t="shared" si="61"/>
        <v>-1166.67</v>
      </c>
      <c r="Q95" s="33">
        <f t="shared" si="62"/>
        <v>0</v>
      </c>
      <c r="R95" s="31"/>
      <c r="S95" s="32">
        <f>1166.67</f>
        <v>1166.67</v>
      </c>
      <c r="T95" s="32">
        <f t="shared" si="63"/>
        <v>-1166.67</v>
      </c>
      <c r="U95" s="33">
        <f t="shared" si="64"/>
        <v>0</v>
      </c>
      <c r="V95" s="31"/>
      <c r="W95" s="32">
        <f>1166.67</f>
        <v>1166.67</v>
      </c>
      <c r="X95" s="32">
        <f t="shared" si="65"/>
        <v>-1166.67</v>
      </c>
      <c r="Y95" s="33">
        <f t="shared" si="66"/>
        <v>0</v>
      </c>
      <c r="Z95" s="31"/>
      <c r="AA95" s="32">
        <f>1166.67</f>
        <v>1166.67</v>
      </c>
      <c r="AB95" s="32">
        <f t="shared" si="67"/>
        <v>-1166.67</v>
      </c>
      <c r="AC95" s="33">
        <f t="shared" si="68"/>
        <v>0</v>
      </c>
      <c r="AD95" s="31"/>
      <c r="AE95" s="32">
        <f>1166.67</f>
        <v>1166.67</v>
      </c>
      <c r="AF95" s="32">
        <f t="shared" si="69"/>
        <v>-1166.67</v>
      </c>
      <c r="AG95" s="33">
        <f t="shared" si="70"/>
        <v>0</v>
      </c>
      <c r="AH95" s="31"/>
      <c r="AI95" s="32">
        <f>1166.67</f>
        <v>1166.67</v>
      </c>
      <c r="AJ95" s="32">
        <f t="shared" si="71"/>
        <v>-1166.67</v>
      </c>
      <c r="AK95" s="33">
        <f t="shared" si="72"/>
        <v>0</v>
      </c>
      <c r="AL95" s="31"/>
      <c r="AM95" s="32">
        <f>1166.67</f>
        <v>1166.67</v>
      </c>
      <c r="AN95" s="32">
        <f t="shared" si="73"/>
        <v>-1166.67</v>
      </c>
      <c r="AO95" s="33">
        <f t="shared" si="74"/>
        <v>0</v>
      </c>
      <c r="AP95" s="31"/>
      <c r="AQ95" s="32">
        <f>1166.67</f>
        <v>1166.67</v>
      </c>
      <c r="AR95" s="32">
        <f t="shared" si="75"/>
        <v>-1166.67</v>
      </c>
      <c r="AS95" s="33">
        <f t="shared" si="76"/>
        <v>0</v>
      </c>
      <c r="AT95" s="31"/>
      <c r="AU95" s="32">
        <f>1166.63</f>
        <v>1166.6300000000001</v>
      </c>
      <c r="AV95" s="32">
        <f t="shared" si="77"/>
        <v>-1166.6300000000001</v>
      </c>
      <c r="AW95" s="33">
        <f t="shared" si="78"/>
        <v>0</v>
      </c>
      <c r="AX95" s="32">
        <f t="shared" si="79"/>
        <v>2082.3599999999997</v>
      </c>
      <c r="AY95" s="32">
        <f t="shared" si="79"/>
        <v>14000</v>
      </c>
      <c r="AZ95" s="32">
        <f t="shared" si="80"/>
        <v>-11917.64</v>
      </c>
      <c r="BA95" s="33">
        <f t="shared" si="81"/>
        <v>0.14873999999999998</v>
      </c>
    </row>
    <row r="96" spans="1:53" x14ac:dyDescent="0.3">
      <c r="A96" s="30" t="s">
        <v>172</v>
      </c>
      <c r="B96" s="32">
        <f>40</f>
        <v>40</v>
      </c>
      <c r="C96" s="32">
        <f>41.67</f>
        <v>41.67</v>
      </c>
      <c r="D96" s="32">
        <f t="shared" si="55"/>
        <v>-1.6700000000000017</v>
      </c>
      <c r="E96" s="33">
        <f t="shared" si="56"/>
        <v>0.95992320614350846</v>
      </c>
      <c r="F96" s="32">
        <f>45</f>
        <v>45</v>
      </c>
      <c r="G96" s="32">
        <f>41.67</f>
        <v>41.67</v>
      </c>
      <c r="H96" s="32">
        <f t="shared" si="57"/>
        <v>3.3299999999999983</v>
      </c>
      <c r="I96" s="33">
        <f t="shared" si="58"/>
        <v>1.079913606911447</v>
      </c>
      <c r="J96" s="32">
        <f>45</f>
        <v>45</v>
      </c>
      <c r="K96" s="32">
        <f>41.67</f>
        <v>41.67</v>
      </c>
      <c r="L96" s="32">
        <f t="shared" si="59"/>
        <v>3.3299999999999983</v>
      </c>
      <c r="M96" s="33">
        <f t="shared" si="60"/>
        <v>1.079913606911447</v>
      </c>
      <c r="N96" s="31"/>
      <c r="O96" s="32">
        <f>41.67</f>
        <v>41.67</v>
      </c>
      <c r="P96" s="32">
        <f t="shared" si="61"/>
        <v>-41.67</v>
      </c>
      <c r="Q96" s="33">
        <f t="shared" si="62"/>
        <v>0</v>
      </c>
      <c r="R96" s="31"/>
      <c r="S96" s="32">
        <f>41.67</f>
        <v>41.67</v>
      </c>
      <c r="T96" s="32">
        <f t="shared" si="63"/>
        <v>-41.67</v>
      </c>
      <c r="U96" s="33">
        <f t="shared" si="64"/>
        <v>0</v>
      </c>
      <c r="V96" s="31"/>
      <c r="W96" s="32">
        <f>41.67</f>
        <v>41.67</v>
      </c>
      <c r="X96" s="32">
        <f t="shared" si="65"/>
        <v>-41.67</v>
      </c>
      <c r="Y96" s="33">
        <f t="shared" si="66"/>
        <v>0</v>
      </c>
      <c r="Z96" s="31"/>
      <c r="AA96" s="32">
        <f>41.67</f>
        <v>41.67</v>
      </c>
      <c r="AB96" s="32">
        <f t="shared" si="67"/>
        <v>-41.67</v>
      </c>
      <c r="AC96" s="33">
        <f t="shared" si="68"/>
        <v>0</v>
      </c>
      <c r="AD96" s="31"/>
      <c r="AE96" s="32">
        <f>41.67</f>
        <v>41.67</v>
      </c>
      <c r="AF96" s="32">
        <f t="shared" si="69"/>
        <v>-41.67</v>
      </c>
      <c r="AG96" s="33">
        <f t="shared" si="70"/>
        <v>0</v>
      </c>
      <c r="AH96" s="31"/>
      <c r="AI96" s="32">
        <f>41.67</f>
        <v>41.67</v>
      </c>
      <c r="AJ96" s="32">
        <f t="shared" si="71"/>
        <v>-41.67</v>
      </c>
      <c r="AK96" s="33">
        <f t="shared" si="72"/>
        <v>0</v>
      </c>
      <c r="AL96" s="31"/>
      <c r="AM96" s="32">
        <f>41.67</f>
        <v>41.67</v>
      </c>
      <c r="AN96" s="32">
        <f t="shared" si="73"/>
        <v>-41.67</v>
      </c>
      <c r="AO96" s="33">
        <f t="shared" si="74"/>
        <v>0</v>
      </c>
      <c r="AP96" s="31"/>
      <c r="AQ96" s="32">
        <f>41.67</f>
        <v>41.67</v>
      </c>
      <c r="AR96" s="32">
        <f t="shared" si="75"/>
        <v>-41.67</v>
      </c>
      <c r="AS96" s="33">
        <f t="shared" si="76"/>
        <v>0</v>
      </c>
      <c r="AT96" s="31"/>
      <c r="AU96" s="32">
        <f>41.63</f>
        <v>41.63</v>
      </c>
      <c r="AV96" s="32">
        <f t="shared" si="77"/>
        <v>-41.63</v>
      </c>
      <c r="AW96" s="33">
        <f t="shared" si="78"/>
        <v>0</v>
      </c>
      <c r="AX96" s="32">
        <f t="shared" si="79"/>
        <v>130</v>
      </c>
      <c r="AY96" s="32">
        <f t="shared" si="79"/>
        <v>500.00000000000011</v>
      </c>
      <c r="AZ96" s="32">
        <f t="shared" si="80"/>
        <v>-370.00000000000011</v>
      </c>
      <c r="BA96" s="33">
        <f t="shared" si="81"/>
        <v>0.25999999999999995</v>
      </c>
    </row>
    <row r="97" spans="1:53" x14ac:dyDescent="0.3">
      <c r="A97" s="30" t="s">
        <v>173</v>
      </c>
      <c r="B97" s="32">
        <f>240.02</f>
        <v>240.02</v>
      </c>
      <c r="C97" s="32">
        <f>250</f>
        <v>250</v>
      </c>
      <c r="D97" s="32">
        <f t="shared" si="55"/>
        <v>-9.9799999999999898</v>
      </c>
      <c r="E97" s="33">
        <f t="shared" si="56"/>
        <v>0.96008000000000004</v>
      </c>
      <c r="F97" s="32">
        <f>114.53</f>
        <v>114.53</v>
      </c>
      <c r="G97" s="32">
        <f>250</f>
        <v>250</v>
      </c>
      <c r="H97" s="32">
        <f t="shared" si="57"/>
        <v>-135.47</v>
      </c>
      <c r="I97" s="33">
        <f t="shared" si="58"/>
        <v>0.45812000000000003</v>
      </c>
      <c r="J97" s="32">
        <f>110.75</f>
        <v>110.75</v>
      </c>
      <c r="K97" s="32">
        <f>250</f>
        <v>250</v>
      </c>
      <c r="L97" s="32">
        <f t="shared" si="59"/>
        <v>-139.25</v>
      </c>
      <c r="M97" s="33">
        <f t="shared" si="60"/>
        <v>0.443</v>
      </c>
      <c r="N97" s="31"/>
      <c r="O97" s="32">
        <f>250</f>
        <v>250</v>
      </c>
      <c r="P97" s="32">
        <f t="shared" si="61"/>
        <v>-250</v>
      </c>
      <c r="Q97" s="33">
        <f t="shared" si="62"/>
        <v>0</v>
      </c>
      <c r="R97" s="31"/>
      <c r="S97" s="32">
        <f>250</f>
        <v>250</v>
      </c>
      <c r="T97" s="32">
        <f t="shared" si="63"/>
        <v>-250</v>
      </c>
      <c r="U97" s="33">
        <f t="shared" si="64"/>
        <v>0</v>
      </c>
      <c r="V97" s="31"/>
      <c r="W97" s="32">
        <f>250</f>
        <v>250</v>
      </c>
      <c r="X97" s="32">
        <f t="shared" si="65"/>
        <v>-250</v>
      </c>
      <c r="Y97" s="33">
        <f t="shared" si="66"/>
        <v>0</v>
      </c>
      <c r="Z97" s="31"/>
      <c r="AA97" s="32">
        <f>250</f>
        <v>250</v>
      </c>
      <c r="AB97" s="32">
        <f t="shared" si="67"/>
        <v>-250</v>
      </c>
      <c r="AC97" s="33">
        <f t="shared" si="68"/>
        <v>0</v>
      </c>
      <c r="AD97" s="31"/>
      <c r="AE97" s="32">
        <f>250</f>
        <v>250</v>
      </c>
      <c r="AF97" s="32">
        <f t="shared" si="69"/>
        <v>-250</v>
      </c>
      <c r="AG97" s="33">
        <f t="shared" si="70"/>
        <v>0</v>
      </c>
      <c r="AH97" s="31"/>
      <c r="AI97" s="32">
        <f>250</f>
        <v>250</v>
      </c>
      <c r="AJ97" s="32">
        <f t="shared" si="71"/>
        <v>-250</v>
      </c>
      <c r="AK97" s="33">
        <f t="shared" si="72"/>
        <v>0</v>
      </c>
      <c r="AL97" s="31"/>
      <c r="AM97" s="32">
        <f>250</f>
        <v>250</v>
      </c>
      <c r="AN97" s="32">
        <f t="shared" si="73"/>
        <v>-250</v>
      </c>
      <c r="AO97" s="33">
        <f t="shared" si="74"/>
        <v>0</v>
      </c>
      <c r="AP97" s="31"/>
      <c r="AQ97" s="32">
        <f>250</f>
        <v>250</v>
      </c>
      <c r="AR97" s="32">
        <f t="shared" si="75"/>
        <v>-250</v>
      </c>
      <c r="AS97" s="33">
        <f t="shared" si="76"/>
        <v>0</v>
      </c>
      <c r="AT97" s="31"/>
      <c r="AU97" s="32">
        <f>250</f>
        <v>250</v>
      </c>
      <c r="AV97" s="32">
        <f t="shared" si="77"/>
        <v>-250</v>
      </c>
      <c r="AW97" s="33">
        <f t="shared" si="78"/>
        <v>0</v>
      </c>
      <c r="AX97" s="32">
        <f t="shared" si="79"/>
        <v>465.3</v>
      </c>
      <c r="AY97" s="32">
        <f t="shared" si="79"/>
        <v>3000</v>
      </c>
      <c r="AZ97" s="32">
        <f t="shared" si="80"/>
        <v>-2534.6999999999998</v>
      </c>
      <c r="BA97" s="33">
        <f t="shared" si="81"/>
        <v>0.15510000000000002</v>
      </c>
    </row>
    <row r="98" spans="1:53" x14ac:dyDescent="0.3">
      <c r="A98" s="30" t="s">
        <v>174</v>
      </c>
      <c r="B98" s="34">
        <f>((((B93)+(B94))+(B95))+(B96))+(B97)</f>
        <v>753.77</v>
      </c>
      <c r="C98" s="34">
        <f>((((C93)+(C94))+(C95))+(C96))+(C97)</f>
        <v>2125.0100000000002</v>
      </c>
      <c r="D98" s="34">
        <f t="shared" si="55"/>
        <v>-1371.2400000000002</v>
      </c>
      <c r="E98" s="35">
        <f t="shared" si="56"/>
        <v>0.35471362487705937</v>
      </c>
      <c r="F98" s="34">
        <f>((((F93)+(F94))+(F95))+(F96))+(F97)</f>
        <v>1760.1499999999999</v>
      </c>
      <c r="G98" s="34">
        <f>((((G93)+(G94))+(G95))+(G96))+(G97)</f>
        <v>2125.0100000000002</v>
      </c>
      <c r="H98" s="34">
        <f t="shared" si="57"/>
        <v>-364.86000000000035</v>
      </c>
      <c r="I98" s="35">
        <f t="shared" si="58"/>
        <v>0.82830198446124947</v>
      </c>
      <c r="J98" s="34">
        <f>((((J93)+(J94))+(J95))+(J96))+(J97)</f>
        <v>1584.99</v>
      </c>
      <c r="K98" s="34">
        <f>((((K93)+(K94))+(K95))+(K96))+(K97)</f>
        <v>2125.0100000000002</v>
      </c>
      <c r="L98" s="34">
        <f t="shared" si="59"/>
        <v>-540.02000000000021</v>
      </c>
      <c r="M98" s="35">
        <f t="shared" si="60"/>
        <v>0.7458741370628843</v>
      </c>
      <c r="N98" s="34">
        <f>((((N93)+(N94))+(N95))+(N96))+(N97)</f>
        <v>0</v>
      </c>
      <c r="O98" s="34">
        <f>((((O93)+(O94))+(O95))+(O96))+(O97)</f>
        <v>2125.0100000000002</v>
      </c>
      <c r="P98" s="34">
        <f t="shared" si="61"/>
        <v>-2125.0100000000002</v>
      </c>
      <c r="Q98" s="35">
        <f t="shared" si="62"/>
        <v>0</v>
      </c>
      <c r="R98" s="34">
        <f>((((R93)+(R94))+(R95))+(R96))+(R97)</f>
        <v>0</v>
      </c>
      <c r="S98" s="34">
        <f>((((S93)+(S94))+(S95))+(S96))+(S97)</f>
        <v>2125.0100000000002</v>
      </c>
      <c r="T98" s="34">
        <f t="shared" si="63"/>
        <v>-2125.0100000000002</v>
      </c>
      <c r="U98" s="35">
        <f t="shared" si="64"/>
        <v>0</v>
      </c>
      <c r="V98" s="34">
        <f>((((V93)+(V94))+(V95))+(V96))+(V97)</f>
        <v>0</v>
      </c>
      <c r="W98" s="34">
        <f>((((W93)+(W94))+(W95))+(W96))+(W97)</f>
        <v>2125.0100000000002</v>
      </c>
      <c r="X98" s="34">
        <f t="shared" si="65"/>
        <v>-2125.0100000000002</v>
      </c>
      <c r="Y98" s="35">
        <f t="shared" si="66"/>
        <v>0</v>
      </c>
      <c r="Z98" s="34">
        <f>((((Z93)+(Z94))+(Z95))+(Z96))+(Z97)</f>
        <v>0</v>
      </c>
      <c r="AA98" s="34">
        <f>((((AA93)+(AA94))+(AA95))+(AA96))+(AA97)</f>
        <v>2125.0100000000002</v>
      </c>
      <c r="AB98" s="34">
        <f t="shared" si="67"/>
        <v>-2125.0100000000002</v>
      </c>
      <c r="AC98" s="35">
        <f t="shared" si="68"/>
        <v>0</v>
      </c>
      <c r="AD98" s="34">
        <f>((((AD93)+(AD94))+(AD95))+(AD96))+(AD97)</f>
        <v>0</v>
      </c>
      <c r="AE98" s="34">
        <f>((((AE93)+(AE94))+(AE95))+(AE96))+(AE97)</f>
        <v>2125.0100000000002</v>
      </c>
      <c r="AF98" s="34">
        <f t="shared" si="69"/>
        <v>-2125.0100000000002</v>
      </c>
      <c r="AG98" s="35">
        <f t="shared" si="70"/>
        <v>0</v>
      </c>
      <c r="AH98" s="34">
        <f>((((AH93)+(AH94))+(AH95))+(AH96))+(AH97)</f>
        <v>0</v>
      </c>
      <c r="AI98" s="34">
        <f>((((AI93)+(AI94))+(AI95))+(AI96))+(AI97)</f>
        <v>2125.0100000000002</v>
      </c>
      <c r="AJ98" s="34">
        <f t="shared" si="71"/>
        <v>-2125.0100000000002</v>
      </c>
      <c r="AK98" s="35">
        <f t="shared" si="72"/>
        <v>0</v>
      </c>
      <c r="AL98" s="34">
        <f>((((AL93)+(AL94))+(AL95))+(AL96))+(AL97)</f>
        <v>0</v>
      </c>
      <c r="AM98" s="34">
        <f>((((AM93)+(AM94))+(AM95))+(AM96))+(AM97)</f>
        <v>2125.0100000000002</v>
      </c>
      <c r="AN98" s="34">
        <f t="shared" si="73"/>
        <v>-2125.0100000000002</v>
      </c>
      <c r="AO98" s="35">
        <f t="shared" si="74"/>
        <v>0</v>
      </c>
      <c r="AP98" s="34">
        <f>((((AP93)+(AP94))+(AP95))+(AP96))+(AP97)</f>
        <v>0</v>
      </c>
      <c r="AQ98" s="34">
        <f>((((AQ93)+(AQ94))+(AQ95))+(AQ96))+(AQ97)</f>
        <v>2125.0100000000002</v>
      </c>
      <c r="AR98" s="34">
        <f t="shared" si="75"/>
        <v>-2125.0100000000002</v>
      </c>
      <c r="AS98" s="35">
        <f t="shared" si="76"/>
        <v>0</v>
      </c>
      <c r="AT98" s="34">
        <f>((((AT93)+(AT94))+(AT95))+(AT96))+(AT97)</f>
        <v>0</v>
      </c>
      <c r="AU98" s="34">
        <f>((((AU93)+(AU94))+(AU95))+(AU96))+(AU97)</f>
        <v>2124.8900000000003</v>
      </c>
      <c r="AV98" s="34">
        <f t="shared" si="77"/>
        <v>-2124.8900000000003</v>
      </c>
      <c r="AW98" s="35">
        <f t="shared" si="78"/>
        <v>0</v>
      </c>
      <c r="AX98" s="34">
        <f t="shared" si="79"/>
        <v>4098.91</v>
      </c>
      <c r="AY98" s="34">
        <f t="shared" si="79"/>
        <v>25500.000000000007</v>
      </c>
      <c r="AZ98" s="34">
        <f t="shared" si="80"/>
        <v>-21401.090000000007</v>
      </c>
      <c r="BA98" s="35">
        <f t="shared" si="81"/>
        <v>0.16074156862745093</v>
      </c>
    </row>
    <row r="99" spans="1:53" x14ac:dyDescent="0.3">
      <c r="A99" s="30" t="s">
        <v>175</v>
      </c>
      <c r="B99" s="34">
        <f>((((((((((((((((((((((B25)+(B29))+(B30))+(B31))+(B32))+(B33))+(B51))+(B52))+(B53))+(B58))+(B59))+(B60))+(B61))+(B70))+(B71))+(B72))+(B73))+(B77))+(B78))+(B84))+(B85))+(B92))+(B98)</f>
        <v>75825.600000000006</v>
      </c>
      <c r="C99" s="34">
        <f>((((((((((((((((((((((C25)+(C29))+(C30))+(C31))+(C32))+(C33))+(C51))+(C52))+(C53))+(C58))+(C59))+(C60))+(C61))+(C70))+(C71))+(C72))+(C73))+(C77))+(C78))+(C84))+(C85))+(C92))+(C98)</f>
        <v>82633.359999999986</v>
      </c>
      <c r="D99" s="34">
        <f t="shared" si="55"/>
        <v>-6807.7599999999802</v>
      </c>
      <c r="E99" s="35">
        <f t="shared" si="56"/>
        <v>0.91761487128201025</v>
      </c>
      <c r="F99" s="34">
        <f>((((((((((((((((((((((F25)+(F29))+(F30))+(F31))+(F32))+(F33))+(F51))+(F52))+(F53))+(F58))+(F59))+(F60))+(F61))+(F70))+(F71))+(F72))+(F73))+(F77))+(F78))+(F84))+(F85))+(F92))+(F98)</f>
        <v>61914.39</v>
      </c>
      <c r="G99" s="34">
        <f>((((((((((((((((((((((G25)+(G29))+(G30))+(G31))+(G32))+(G33))+(G51))+(G52))+(G53))+(G58))+(G59))+(G60))+(G61))+(G70))+(G71))+(G72))+(G73))+(G77))+(G78))+(G84))+(G85))+(G92))+(G98)</f>
        <v>82633.359999999986</v>
      </c>
      <c r="H99" s="34">
        <f t="shared" si="57"/>
        <v>-20718.969999999987</v>
      </c>
      <c r="I99" s="35">
        <f t="shared" si="58"/>
        <v>0.74926627696126613</v>
      </c>
      <c r="J99" s="34">
        <f>((((((((((((((((((((((J25)+(J29))+(J30))+(J31))+(J32))+(J33))+(J51))+(J52))+(J53))+(J58))+(J59))+(J60))+(J61))+(J70))+(J71))+(J72))+(J73))+(J77))+(J78))+(J84))+(J85))+(J92))+(J98)</f>
        <v>61472.45</v>
      </c>
      <c r="K99" s="34">
        <f>((((((((((((((((((((((K25)+(K29))+(K30))+(K31))+(K32))+(K33))+(K51))+(K52))+(K53))+(K58))+(K59))+(K60))+(K61))+(K70))+(K71))+(K72))+(K73))+(K77))+(K78))+(K84))+(K85))+(K92))+(K98)</f>
        <v>82633.359999999986</v>
      </c>
      <c r="L99" s="34">
        <f t="shared" si="59"/>
        <v>-21160.909999999989</v>
      </c>
      <c r="M99" s="35">
        <f t="shared" si="60"/>
        <v>0.74391807376584962</v>
      </c>
      <c r="N99" s="34">
        <f>((((((((((((((((((((((N25)+(N29))+(N30))+(N31))+(N32))+(N33))+(N51))+(N52))+(N53))+(N58))+(N59))+(N60))+(N61))+(N70))+(N71))+(N72))+(N73))+(N77))+(N78))+(N84))+(N85))+(N92))+(N98)</f>
        <v>17532.7</v>
      </c>
      <c r="O99" s="34">
        <f>((((((((((((((((((((((O25)+(O29))+(O30))+(O31))+(O32))+(O33))+(O51))+(O52))+(O53))+(O58))+(O59))+(O60))+(O61))+(O70))+(O71))+(O72))+(O73))+(O77))+(O78))+(O84))+(O85))+(O92))+(O98)</f>
        <v>82633.359999999986</v>
      </c>
      <c r="P99" s="34">
        <f t="shared" si="61"/>
        <v>-65100.659999999989</v>
      </c>
      <c r="Q99" s="35">
        <f t="shared" si="62"/>
        <v>0.21217459873348976</v>
      </c>
      <c r="R99" s="34">
        <f>((((((((((((((((((((((R25)+(R29))+(R30))+(R31))+(R32))+(R33))+(R51))+(R52))+(R53))+(R58))+(R59))+(R60))+(R61))+(R70))+(R71))+(R72))+(R73))+(R77))+(R78))+(R84))+(R85))+(R92))+(R98)</f>
        <v>0</v>
      </c>
      <c r="S99" s="34">
        <f>((((((((((((((((((((((S25)+(S29))+(S30))+(S31))+(S32))+(S33))+(S51))+(S52))+(S53))+(S58))+(S59))+(S60))+(S61))+(S70))+(S71))+(S72))+(S73))+(S77))+(S78))+(S84))+(S85))+(S92))+(S98)</f>
        <v>82633.359999999986</v>
      </c>
      <c r="T99" s="34">
        <f t="shared" si="63"/>
        <v>-82633.359999999986</v>
      </c>
      <c r="U99" s="35">
        <f t="shared" si="64"/>
        <v>0</v>
      </c>
      <c r="V99" s="34">
        <f>((((((((((((((((((((((V25)+(V29))+(V30))+(V31))+(V32))+(V33))+(V51))+(V52))+(V53))+(V58))+(V59))+(V60))+(V61))+(V70))+(V71))+(V72))+(V73))+(V77))+(V78))+(V84))+(V85))+(V92))+(V98)</f>
        <v>0</v>
      </c>
      <c r="W99" s="34">
        <f>((((((((((((((((((((((W25)+(W29))+(W30))+(W31))+(W32))+(W33))+(W51))+(W52))+(W53))+(W58))+(W59))+(W60))+(W61))+(W70))+(W71))+(W72))+(W73))+(W77))+(W78))+(W84))+(W85))+(W92))+(W98)</f>
        <v>82633.359999999986</v>
      </c>
      <c r="X99" s="34">
        <f t="shared" si="65"/>
        <v>-82633.359999999986</v>
      </c>
      <c r="Y99" s="35">
        <f t="shared" si="66"/>
        <v>0</v>
      </c>
      <c r="Z99" s="34">
        <f>((((((((((((((((((((((Z25)+(Z29))+(Z30))+(Z31))+(Z32))+(Z33))+(Z51))+(Z52))+(Z53))+(Z58))+(Z59))+(Z60))+(Z61))+(Z70))+(Z71))+(Z72))+(Z73))+(Z77))+(Z78))+(Z84))+(Z85))+(Z92))+(Z98)</f>
        <v>0</v>
      </c>
      <c r="AA99" s="34">
        <f>((((((((((((((((((((((AA25)+(AA29))+(AA30))+(AA31))+(AA32))+(AA33))+(AA51))+(AA52))+(AA53))+(AA58))+(AA59))+(AA60))+(AA61))+(AA70))+(AA71))+(AA72))+(AA73))+(AA77))+(AA78))+(AA84))+(AA85))+(AA92))+(AA98)</f>
        <v>82633.359999999986</v>
      </c>
      <c r="AB99" s="34">
        <f t="shared" si="67"/>
        <v>-82633.359999999986</v>
      </c>
      <c r="AC99" s="35">
        <f t="shared" si="68"/>
        <v>0</v>
      </c>
      <c r="AD99" s="34">
        <f>((((((((((((((((((((((AD25)+(AD29))+(AD30))+(AD31))+(AD32))+(AD33))+(AD51))+(AD52))+(AD53))+(AD58))+(AD59))+(AD60))+(AD61))+(AD70))+(AD71))+(AD72))+(AD73))+(AD77))+(AD78))+(AD84))+(AD85))+(AD92))+(AD98)</f>
        <v>0</v>
      </c>
      <c r="AE99" s="34">
        <f>((((((((((((((((((((((AE25)+(AE29))+(AE30))+(AE31))+(AE32))+(AE33))+(AE51))+(AE52))+(AE53))+(AE58))+(AE59))+(AE60))+(AE61))+(AE70))+(AE71))+(AE72))+(AE73))+(AE77))+(AE78))+(AE84))+(AE85))+(AE92))+(AE98)</f>
        <v>82633.359999999986</v>
      </c>
      <c r="AF99" s="34">
        <f t="shared" si="69"/>
        <v>-82633.359999999986</v>
      </c>
      <c r="AG99" s="35">
        <f t="shared" si="70"/>
        <v>0</v>
      </c>
      <c r="AH99" s="34">
        <f>((((((((((((((((((((((AH25)+(AH29))+(AH30))+(AH31))+(AH32))+(AH33))+(AH51))+(AH52))+(AH53))+(AH58))+(AH59))+(AH60))+(AH61))+(AH70))+(AH71))+(AH72))+(AH73))+(AH77))+(AH78))+(AH84))+(AH85))+(AH92))+(AH98)</f>
        <v>0</v>
      </c>
      <c r="AI99" s="34">
        <f>((((((((((((((((((((((AI25)+(AI29))+(AI30))+(AI31))+(AI32))+(AI33))+(AI51))+(AI52))+(AI53))+(AI58))+(AI59))+(AI60))+(AI61))+(AI70))+(AI71))+(AI72))+(AI73))+(AI77))+(AI78))+(AI84))+(AI85))+(AI92))+(AI98)</f>
        <v>82633.359999999986</v>
      </c>
      <c r="AJ99" s="34">
        <f t="shared" si="71"/>
        <v>-82633.359999999986</v>
      </c>
      <c r="AK99" s="35">
        <f t="shared" si="72"/>
        <v>0</v>
      </c>
      <c r="AL99" s="34">
        <f>((((((((((((((((((((((AL25)+(AL29))+(AL30))+(AL31))+(AL32))+(AL33))+(AL51))+(AL52))+(AL53))+(AL58))+(AL59))+(AL60))+(AL61))+(AL70))+(AL71))+(AL72))+(AL73))+(AL77))+(AL78))+(AL84))+(AL85))+(AL92))+(AL98)</f>
        <v>0</v>
      </c>
      <c r="AM99" s="34">
        <f>((((((((((((((((((((((AM25)+(AM29))+(AM30))+(AM31))+(AM32))+(AM33))+(AM51))+(AM52))+(AM53))+(AM58))+(AM59))+(AM60))+(AM61))+(AM70))+(AM71))+(AM72))+(AM73))+(AM77))+(AM78))+(AM84))+(AM85))+(AM92))+(AM98)</f>
        <v>82633.359999999986</v>
      </c>
      <c r="AN99" s="34">
        <f t="shared" si="73"/>
        <v>-82633.359999999986</v>
      </c>
      <c r="AO99" s="35">
        <f t="shared" si="74"/>
        <v>0</v>
      </c>
      <c r="AP99" s="34">
        <f>((((((((((((((((((((((AP25)+(AP29))+(AP30))+(AP31))+(AP32))+(AP33))+(AP51))+(AP52))+(AP53))+(AP58))+(AP59))+(AP60))+(AP61))+(AP70))+(AP71))+(AP72))+(AP73))+(AP77))+(AP78))+(AP84))+(AP85))+(AP92))+(AP98)</f>
        <v>0</v>
      </c>
      <c r="AQ99" s="34">
        <f>((((((((((((((((((((((AQ25)+(AQ29))+(AQ30))+(AQ31))+(AQ32))+(AQ33))+(AQ51))+(AQ52))+(AQ53))+(AQ58))+(AQ59))+(AQ60))+(AQ61))+(AQ70))+(AQ71))+(AQ72))+(AQ73))+(AQ77))+(AQ78))+(AQ84))+(AQ85))+(AQ92))+(AQ98)</f>
        <v>82633.359999999986</v>
      </c>
      <c r="AR99" s="34">
        <f t="shared" si="75"/>
        <v>-82633.359999999986</v>
      </c>
      <c r="AS99" s="35">
        <f t="shared" si="76"/>
        <v>0</v>
      </c>
      <c r="AT99" s="34">
        <f>((((((((((((((((((((((AT25)+(AT29))+(AT30))+(AT31))+(AT32))+(AT33))+(AT51))+(AT52))+(AT53))+(AT58))+(AT59))+(AT60))+(AT61))+(AT70))+(AT71))+(AT72))+(AT73))+(AT77))+(AT78))+(AT84))+(AT85))+(AT92))+(AT98)</f>
        <v>0</v>
      </c>
      <c r="AU99" s="34">
        <f>((((((((((((((((((((((AU25)+(AU29))+(AU30))+(AU31))+(AU32))+(AU33))+(AU51))+(AU52))+(AU53))+(AU58))+(AU59))+(AU60))+(AU61))+(AU70))+(AU71))+(AU72))+(AU73))+(AU77))+(AU78))+(AU84))+(AU85))+(AU92))+(AU98)</f>
        <v>82633.039999999979</v>
      </c>
      <c r="AV99" s="34">
        <f t="shared" si="77"/>
        <v>-82633.039999999979</v>
      </c>
      <c r="AW99" s="35">
        <f t="shared" si="78"/>
        <v>0</v>
      </c>
      <c r="AX99" s="34">
        <f t="shared" si="79"/>
        <v>216745.14</v>
      </c>
      <c r="AY99" s="34">
        <f t="shared" si="79"/>
        <v>991599.99999999977</v>
      </c>
      <c r="AZ99" s="34">
        <f t="shared" si="80"/>
        <v>-774854.85999999975</v>
      </c>
      <c r="BA99" s="35">
        <f t="shared" si="81"/>
        <v>0.21858122226704324</v>
      </c>
    </row>
    <row r="100" spans="1:53" x14ac:dyDescent="0.3">
      <c r="A100" s="30" t="s">
        <v>176</v>
      </c>
      <c r="B100" s="34">
        <f>(B18)-(B99)</f>
        <v>-60949.33</v>
      </c>
      <c r="C100" s="34">
        <f>(C18)-(C99)</f>
        <v>7449.4800000000105</v>
      </c>
      <c r="D100" s="34">
        <f t="shared" si="55"/>
        <v>-68398.810000000012</v>
      </c>
      <c r="E100" s="35">
        <f t="shared" si="56"/>
        <v>-8.1816891917288075</v>
      </c>
      <c r="F100" s="34">
        <f>(F18)-(F99)</f>
        <v>302511.63999999996</v>
      </c>
      <c r="G100" s="34">
        <f>(G18)-(G99)</f>
        <v>7449.4800000000105</v>
      </c>
      <c r="H100" s="34">
        <f t="shared" si="57"/>
        <v>295062.15999999992</v>
      </c>
      <c r="I100" s="35">
        <f t="shared" si="58"/>
        <v>40.60842367520948</v>
      </c>
      <c r="J100" s="34">
        <f>(J18)-(J99)</f>
        <v>17132.840000000011</v>
      </c>
      <c r="K100" s="34">
        <f>(K18)-(K99)</f>
        <v>7449.4800000000105</v>
      </c>
      <c r="L100" s="34">
        <f t="shared" si="59"/>
        <v>9683.36</v>
      </c>
      <c r="M100" s="35">
        <f t="shared" si="60"/>
        <v>2.2998705949945482</v>
      </c>
      <c r="N100" s="34">
        <f>(N18)-(N99)</f>
        <v>-17532.7</v>
      </c>
      <c r="O100" s="34">
        <f>(O18)-(O99)</f>
        <v>7449.4800000000105</v>
      </c>
      <c r="P100" s="34">
        <f t="shared" si="61"/>
        <v>-24982.180000000011</v>
      </c>
      <c r="Q100" s="35">
        <f t="shared" si="62"/>
        <v>-2.3535468247448112</v>
      </c>
      <c r="R100" s="34">
        <f>(R18)-(R99)</f>
        <v>0</v>
      </c>
      <c r="S100" s="34">
        <f>(S18)-(S99)</f>
        <v>7449.4800000000105</v>
      </c>
      <c r="T100" s="34">
        <f t="shared" si="63"/>
        <v>-7449.4800000000105</v>
      </c>
      <c r="U100" s="35">
        <f t="shared" si="64"/>
        <v>0</v>
      </c>
      <c r="V100" s="34">
        <f>(V18)-(V99)</f>
        <v>0</v>
      </c>
      <c r="W100" s="34">
        <f>(W18)-(W99)</f>
        <v>7449.4800000000105</v>
      </c>
      <c r="X100" s="34">
        <f t="shared" si="65"/>
        <v>-7449.4800000000105</v>
      </c>
      <c r="Y100" s="35">
        <f t="shared" si="66"/>
        <v>0</v>
      </c>
      <c r="Z100" s="34">
        <f>(Z18)-(Z99)</f>
        <v>0</v>
      </c>
      <c r="AA100" s="34">
        <f>(AA18)-(AA99)</f>
        <v>7449.4800000000105</v>
      </c>
      <c r="AB100" s="34">
        <f t="shared" si="67"/>
        <v>-7449.4800000000105</v>
      </c>
      <c r="AC100" s="35">
        <f t="shared" si="68"/>
        <v>0</v>
      </c>
      <c r="AD100" s="34">
        <f>(AD18)-(AD99)</f>
        <v>0</v>
      </c>
      <c r="AE100" s="34">
        <f>(AE18)-(AE99)</f>
        <v>7449.4800000000105</v>
      </c>
      <c r="AF100" s="34">
        <f t="shared" si="69"/>
        <v>-7449.4800000000105</v>
      </c>
      <c r="AG100" s="35">
        <f t="shared" si="70"/>
        <v>0</v>
      </c>
      <c r="AH100" s="34">
        <f>(AH18)-(AH99)</f>
        <v>0</v>
      </c>
      <c r="AI100" s="34">
        <f>(AI18)-(AI99)</f>
        <v>7449.4800000000105</v>
      </c>
      <c r="AJ100" s="34">
        <f t="shared" si="71"/>
        <v>-7449.4800000000105</v>
      </c>
      <c r="AK100" s="35">
        <f t="shared" si="72"/>
        <v>0</v>
      </c>
      <c r="AL100" s="34">
        <f>(AL18)-(AL99)</f>
        <v>0</v>
      </c>
      <c r="AM100" s="34">
        <f>(AM18)-(AM99)</f>
        <v>7449.4800000000105</v>
      </c>
      <c r="AN100" s="34">
        <f t="shared" si="73"/>
        <v>-7449.4800000000105</v>
      </c>
      <c r="AO100" s="35">
        <f t="shared" si="74"/>
        <v>0</v>
      </c>
      <c r="AP100" s="34">
        <f>(AP18)-(AP99)</f>
        <v>0</v>
      </c>
      <c r="AQ100" s="34">
        <f>(AQ18)-(AQ99)</f>
        <v>7449.4800000000105</v>
      </c>
      <c r="AR100" s="34">
        <f t="shared" si="75"/>
        <v>-7449.4800000000105</v>
      </c>
      <c r="AS100" s="35">
        <f t="shared" si="76"/>
        <v>0</v>
      </c>
      <c r="AT100" s="34">
        <f>(AT18)-(AT99)</f>
        <v>0</v>
      </c>
      <c r="AU100" s="34">
        <f>(AU18)-(AU99)</f>
        <v>7449.7200000000157</v>
      </c>
      <c r="AV100" s="34">
        <f t="shared" si="77"/>
        <v>-7449.7200000000157</v>
      </c>
      <c r="AW100" s="35">
        <f t="shared" si="78"/>
        <v>0</v>
      </c>
      <c r="AX100" s="34">
        <f t="shared" si="79"/>
        <v>241162.44999999995</v>
      </c>
      <c r="AY100" s="34">
        <f t="shared" si="79"/>
        <v>89394.000000000131</v>
      </c>
      <c r="AZ100" s="34">
        <f t="shared" si="80"/>
        <v>151768.44999999984</v>
      </c>
      <c r="BA100" s="35">
        <f t="shared" si="81"/>
        <v>2.69774761169653</v>
      </c>
    </row>
    <row r="101" spans="1:53" x14ac:dyDescent="0.3">
      <c r="A101" s="30" t="s">
        <v>177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</row>
    <row r="102" spans="1:53" x14ac:dyDescent="0.3">
      <c r="A102" s="30" t="s">
        <v>178</v>
      </c>
      <c r="B102" s="31"/>
      <c r="C102" s="31"/>
      <c r="D102" s="32">
        <f>(B102)-(C102)</f>
        <v>0</v>
      </c>
      <c r="E102" s="33" t="str">
        <f>IF(C102=0,"",(B102)/(C102))</f>
        <v/>
      </c>
      <c r="F102" s="31"/>
      <c r="G102" s="31"/>
      <c r="H102" s="32">
        <f>(F102)-(G102)</f>
        <v>0</v>
      </c>
      <c r="I102" s="33" t="str">
        <f>IF(G102=0,"",(F102)/(G102))</f>
        <v/>
      </c>
      <c r="J102" s="32">
        <f>-0.02</f>
        <v>-0.02</v>
      </c>
      <c r="K102" s="31"/>
      <c r="L102" s="32">
        <f>(J102)-(K102)</f>
        <v>-0.02</v>
      </c>
      <c r="M102" s="33" t="str">
        <f>IF(K102=0,"",(J102)/(K102))</f>
        <v/>
      </c>
      <c r="N102" s="31"/>
      <c r="O102" s="31"/>
      <c r="P102" s="32">
        <f>(N102)-(O102)</f>
        <v>0</v>
      </c>
      <c r="Q102" s="33" t="str">
        <f>IF(O102=0,"",(N102)/(O102))</f>
        <v/>
      </c>
      <c r="R102" s="31"/>
      <c r="S102" s="31"/>
      <c r="T102" s="32">
        <f>(R102)-(S102)</f>
        <v>0</v>
      </c>
      <c r="U102" s="33" t="str">
        <f>IF(S102=0,"",(R102)/(S102))</f>
        <v/>
      </c>
      <c r="V102" s="31"/>
      <c r="W102" s="31"/>
      <c r="X102" s="32">
        <f>(V102)-(W102)</f>
        <v>0</v>
      </c>
      <c r="Y102" s="33" t="str">
        <f>IF(W102=0,"",(V102)/(W102))</f>
        <v/>
      </c>
      <c r="Z102" s="31"/>
      <c r="AA102" s="31"/>
      <c r="AB102" s="32">
        <f>(Z102)-(AA102)</f>
        <v>0</v>
      </c>
      <c r="AC102" s="33" t="str">
        <f>IF(AA102=0,"",(Z102)/(AA102))</f>
        <v/>
      </c>
      <c r="AD102" s="31"/>
      <c r="AE102" s="31"/>
      <c r="AF102" s="32">
        <f>(AD102)-(AE102)</f>
        <v>0</v>
      </c>
      <c r="AG102" s="33" t="str">
        <f>IF(AE102=0,"",(AD102)/(AE102))</f>
        <v/>
      </c>
      <c r="AH102" s="31"/>
      <c r="AI102" s="31"/>
      <c r="AJ102" s="32">
        <f>(AH102)-(AI102)</f>
        <v>0</v>
      </c>
      <c r="AK102" s="33" t="str">
        <f>IF(AI102=0,"",(AH102)/(AI102))</f>
        <v/>
      </c>
      <c r="AL102" s="31"/>
      <c r="AM102" s="31"/>
      <c r="AN102" s="32">
        <f>(AL102)-(AM102)</f>
        <v>0</v>
      </c>
      <c r="AO102" s="33" t="str">
        <f>IF(AM102=0,"",(AL102)/(AM102))</f>
        <v/>
      </c>
      <c r="AP102" s="31"/>
      <c r="AQ102" s="31"/>
      <c r="AR102" s="32">
        <f>(AP102)-(AQ102)</f>
        <v>0</v>
      </c>
      <c r="AS102" s="33" t="str">
        <f>IF(AQ102=0,"",(AP102)/(AQ102))</f>
        <v/>
      </c>
      <c r="AT102" s="31"/>
      <c r="AU102" s="31"/>
      <c r="AV102" s="32">
        <f>(AT102)-(AU102)</f>
        <v>0</v>
      </c>
      <c r="AW102" s="33" t="str">
        <f>IF(AU102=0,"",(AT102)/(AU102))</f>
        <v/>
      </c>
      <c r="AX102" s="32">
        <f t="shared" ref="AX102:AY105" si="82">(((((((((((B102)+(F102))+(J102))+(N102))+(R102))+(V102))+(Z102))+(AD102))+(AH102))+(AL102))+(AP102))+(AT102)</f>
        <v>-0.02</v>
      </c>
      <c r="AY102" s="32">
        <f t="shared" si="82"/>
        <v>0</v>
      </c>
      <c r="AZ102" s="32">
        <f>(AX102)-(AY102)</f>
        <v>-0.02</v>
      </c>
      <c r="BA102" s="33" t="str">
        <f>IF(AY102=0,"",(AX102)/(AY102))</f>
        <v/>
      </c>
    </row>
    <row r="103" spans="1:53" x14ac:dyDescent="0.3">
      <c r="A103" s="30" t="s">
        <v>179</v>
      </c>
      <c r="B103" s="34">
        <f>B102</f>
        <v>0</v>
      </c>
      <c r="C103" s="34">
        <f>C102</f>
        <v>0</v>
      </c>
      <c r="D103" s="34">
        <f>(B103)-(C103)</f>
        <v>0</v>
      </c>
      <c r="E103" s="35" t="str">
        <f>IF(C103=0,"",(B103)/(C103))</f>
        <v/>
      </c>
      <c r="F103" s="34">
        <f>F102</f>
        <v>0</v>
      </c>
      <c r="G103" s="34">
        <f>G102</f>
        <v>0</v>
      </c>
      <c r="H103" s="34">
        <f>(F103)-(G103)</f>
        <v>0</v>
      </c>
      <c r="I103" s="35" t="str">
        <f>IF(G103=0,"",(F103)/(G103))</f>
        <v/>
      </c>
      <c r="J103" s="34">
        <f>J102</f>
        <v>-0.02</v>
      </c>
      <c r="K103" s="34">
        <f>K102</f>
        <v>0</v>
      </c>
      <c r="L103" s="34">
        <f>(J103)-(K103)</f>
        <v>-0.02</v>
      </c>
      <c r="M103" s="35" t="str">
        <f>IF(K103=0,"",(J103)/(K103))</f>
        <v/>
      </c>
      <c r="N103" s="34">
        <f>N102</f>
        <v>0</v>
      </c>
      <c r="O103" s="34">
        <f>O102</f>
        <v>0</v>
      </c>
      <c r="P103" s="34">
        <f>(N103)-(O103)</f>
        <v>0</v>
      </c>
      <c r="Q103" s="35" t="str">
        <f>IF(O103=0,"",(N103)/(O103))</f>
        <v/>
      </c>
      <c r="R103" s="34">
        <f>R102</f>
        <v>0</v>
      </c>
      <c r="S103" s="34">
        <f>S102</f>
        <v>0</v>
      </c>
      <c r="T103" s="34">
        <f>(R103)-(S103)</f>
        <v>0</v>
      </c>
      <c r="U103" s="35" t="str">
        <f>IF(S103=0,"",(R103)/(S103))</f>
        <v/>
      </c>
      <c r="V103" s="34">
        <f>V102</f>
        <v>0</v>
      </c>
      <c r="W103" s="34">
        <f>W102</f>
        <v>0</v>
      </c>
      <c r="X103" s="34">
        <f>(V103)-(W103)</f>
        <v>0</v>
      </c>
      <c r="Y103" s="35" t="str">
        <f>IF(W103=0,"",(V103)/(W103))</f>
        <v/>
      </c>
      <c r="Z103" s="34">
        <f>Z102</f>
        <v>0</v>
      </c>
      <c r="AA103" s="34">
        <f>AA102</f>
        <v>0</v>
      </c>
      <c r="AB103" s="34">
        <f>(Z103)-(AA103)</f>
        <v>0</v>
      </c>
      <c r="AC103" s="35" t="str">
        <f>IF(AA103=0,"",(Z103)/(AA103))</f>
        <v/>
      </c>
      <c r="AD103" s="34">
        <f>AD102</f>
        <v>0</v>
      </c>
      <c r="AE103" s="34">
        <f>AE102</f>
        <v>0</v>
      </c>
      <c r="AF103" s="34">
        <f>(AD103)-(AE103)</f>
        <v>0</v>
      </c>
      <c r="AG103" s="35" t="str">
        <f>IF(AE103=0,"",(AD103)/(AE103))</f>
        <v/>
      </c>
      <c r="AH103" s="34">
        <f>AH102</f>
        <v>0</v>
      </c>
      <c r="AI103" s="34">
        <f>AI102</f>
        <v>0</v>
      </c>
      <c r="AJ103" s="34">
        <f>(AH103)-(AI103)</f>
        <v>0</v>
      </c>
      <c r="AK103" s="35" t="str">
        <f>IF(AI103=0,"",(AH103)/(AI103))</f>
        <v/>
      </c>
      <c r="AL103" s="34">
        <f>AL102</f>
        <v>0</v>
      </c>
      <c r="AM103" s="34">
        <f>AM102</f>
        <v>0</v>
      </c>
      <c r="AN103" s="34">
        <f>(AL103)-(AM103)</f>
        <v>0</v>
      </c>
      <c r="AO103" s="35" t="str">
        <f>IF(AM103=0,"",(AL103)/(AM103))</f>
        <v/>
      </c>
      <c r="AP103" s="34">
        <f>AP102</f>
        <v>0</v>
      </c>
      <c r="AQ103" s="34">
        <f>AQ102</f>
        <v>0</v>
      </c>
      <c r="AR103" s="34">
        <f>(AP103)-(AQ103)</f>
        <v>0</v>
      </c>
      <c r="AS103" s="35" t="str">
        <f>IF(AQ103=0,"",(AP103)/(AQ103))</f>
        <v/>
      </c>
      <c r="AT103" s="34">
        <f>AT102</f>
        <v>0</v>
      </c>
      <c r="AU103" s="34">
        <f>AU102</f>
        <v>0</v>
      </c>
      <c r="AV103" s="34">
        <f>(AT103)-(AU103)</f>
        <v>0</v>
      </c>
      <c r="AW103" s="35" t="str">
        <f>IF(AU103=0,"",(AT103)/(AU103))</f>
        <v/>
      </c>
      <c r="AX103" s="34">
        <f t="shared" si="82"/>
        <v>-0.02</v>
      </c>
      <c r="AY103" s="34">
        <f t="shared" si="82"/>
        <v>0</v>
      </c>
      <c r="AZ103" s="34">
        <f>(AX103)-(AY103)</f>
        <v>-0.02</v>
      </c>
      <c r="BA103" s="35" t="str">
        <f>IF(AY103=0,"",(AX103)/(AY103))</f>
        <v/>
      </c>
    </row>
    <row r="104" spans="1:53" x14ac:dyDescent="0.3">
      <c r="A104" s="30" t="s">
        <v>180</v>
      </c>
      <c r="B104" s="34">
        <f>(0)-(B103)</f>
        <v>0</v>
      </c>
      <c r="C104" s="34">
        <f>(0)-(C103)</f>
        <v>0</v>
      </c>
      <c r="D104" s="34">
        <f>(B104)-(C104)</f>
        <v>0</v>
      </c>
      <c r="E104" s="35" t="str">
        <f>IF(C104=0,"",(B104)/(C104))</f>
        <v/>
      </c>
      <c r="F104" s="34">
        <f>(0)-(F103)</f>
        <v>0</v>
      </c>
      <c r="G104" s="34">
        <f>(0)-(G103)</f>
        <v>0</v>
      </c>
      <c r="H104" s="34">
        <f>(F104)-(G104)</f>
        <v>0</v>
      </c>
      <c r="I104" s="35" t="str">
        <f>IF(G104=0,"",(F104)/(G104))</f>
        <v/>
      </c>
      <c r="J104" s="34">
        <f>(0)-(J103)</f>
        <v>0.02</v>
      </c>
      <c r="K104" s="34">
        <f>(0)-(K103)</f>
        <v>0</v>
      </c>
      <c r="L104" s="34">
        <f>(J104)-(K104)</f>
        <v>0.02</v>
      </c>
      <c r="M104" s="35" t="str">
        <f>IF(K104=0,"",(J104)/(K104))</f>
        <v/>
      </c>
      <c r="N104" s="34">
        <f>(0)-(N103)</f>
        <v>0</v>
      </c>
      <c r="O104" s="34">
        <f>(0)-(O103)</f>
        <v>0</v>
      </c>
      <c r="P104" s="34">
        <f>(N104)-(O104)</f>
        <v>0</v>
      </c>
      <c r="Q104" s="35" t="str">
        <f>IF(O104=0,"",(N104)/(O104))</f>
        <v/>
      </c>
      <c r="R104" s="34">
        <f>(0)-(R103)</f>
        <v>0</v>
      </c>
      <c r="S104" s="34">
        <f>(0)-(S103)</f>
        <v>0</v>
      </c>
      <c r="T104" s="34">
        <f>(R104)-(S104)</f>
        <v>0</v>
      </c>
      <c r="U104" s="35" t="str">
        <f>IF(S104=0,"",(R104)/(S104))</f>
        <v/>
      </c>
      <c r="V104" s="34">
        <f>(0)-(V103)</f>
        <v>0</v>
      </c>
      <c r="W104" s="34">
        <f>(0)-(W103)</f>
        <v>0</v>
      </c>
      <c r="X104" s="34">
        <f>(V104)-(W104)</f>
        <v>0</v>
      </c>
      <c r="Y104" s="35" t="str">
        <f>IF(W104=0,"",(V104)/(W104))</f>
        <v/>
      </c>
      <c r="Z104" s="34">
        <f>(0)-(Z103)</f>
        <v>0</v>
      </c>
      <c r="AA104" s="34">
        <f>(0)-(AA103)</f>
        <v>0</v>
      </c>
      <c r="AB104" s="34">
        <f>(Z104)-(AA104)</f>
        <v>0</v>
      </c>
      <c r="AC104" s="35" t="str">
        <f>IF(AA104=0,"",(Z104)/(AA104))</f>
        <v/>
      </c>
      <c r="AD104" s="34">
        <f>(0)-(AD103)</f>
        <v>0</v>
      </c>
      <c r="AE104" s="34">
        <f>(0)-(AE103)</f>
        <v>0</v>
      </c>
      <c r="AF104" s="34">
        <f>(AD104)-(AE104)</f>
        <v>0</v>
      </c>
      <c r="AG104" s="35" t="str">
        <f>IF(AE104=0,"",(AD104)/(AE104))</f>
        <v/>
      </c>
      <c r="AH104" s="34">
        <f>(0)-(AH103)</f>
        <v>0</v>
      </c>
      <c r="AI104" s="34">
        <f>(0)-(AI103)</f>
        <v>0</v>
      </c>
      <c r="AJ104" s="34">
        <f>(AH104)-(AI104)</f>
        <v>0</v>
      </c>
      <c r="AK104" s="35" t="str">
        <f>IF(AI104=0,"",(AH104)/(AI104))</f>
        <v/>
      </c>
      <c r="AL104" s="34">
        <f>(0)-(AL103)</f>
        <v>0</v>
      </c>
      <c r="AM104" s="34">
        <f>(0)-(AM103)</f>
        <v>0</v>
      </c>
      <c r="AN104" s="34">
        <f>(AL104)-(AM104)</f>
        <v>0</v>
      </c>
      <c r="AO104" s="35" t="str">
        <f>IF(AM104=0,"",(AL104)/(AM104))</f>
        <v/>
      </c>
      <c r="AP104" s="34">
        <f>(0)-(AP103)</f>
        <v>0</v>
      </c>
      <c r="AQ104" s="34">
        <f>(0)-(AQ103)</f>
        <v>0</v>
      </c>
      <c r="AR104" s="34">
        <f>(AP104)-(AQ104)</f>
        <v>0</v>
      </c>
      <c r="AS104" s="35" t="str">
        <f>IF(AQ104=0,"",(AP104)/(AQ104))</f>
        <v/>
      </c>
      <c r="AT104" s="34">
        <f>(0)-(AT103)</f>
        <v>0</v>
      </c>
      <c r="AU104" s="34">
        <f>(0)-(AU103)</f>
        <v>0</v>
      </c>
      <c r="AV104" s="34">
        <f>(AT104)-(AU104)</f>
        <v>0</v>
      </c>
      <c r="AW104" s="35" t="str">
        <f>IF(AU104=0,"",(AT104)/(AU104))</f>
        <v/>
      </c>
      <c r="AX104" s="34">
        <f t="shared" si="82"/>
        <v>0.02</v>
      </c>
      <c r="AY104" s="34">
        <f t="shared" si="82"/>
        <v>0</v>
      </c>
      <c r="AZ104" s="34">
        <f>(AX104)-(AY104)</f>
        <v>0.02</v>
      </c>
      <c r="BA104" s="35" t="str">
        <f>IF(AY104=0,"",(AX104)/(AY104))</f>
        <v/>
      </c>
    </row>
    <row r="105" spans="1:53" x14ac:dyDescent="0.3">
      <c r="A105" s="30" t="s">
        <v>63</v>
      </c>
      <c r="B105" s="34">
        <f>(B100)+(B104)</f>
        <v>-60949.33</v>
      </c>
      <c r="C105" s="34">
        <f>(C100)+(C104)</f>
        <v>7449.4800000000105</v>
      </c>
      <c r="D105" s="34">
        <f>(B105)-(C105)</f>
        <v>-68398.810000000012</v>
      </c>
      <c r="E105" s="35">
        <f>IF(C105=0,"",(B105)/(C105))</f>
        <v>-8.1816891917288075</v>
      </c>
      <c r="F105" s="34">
        <f>(F100)+(F104)</f>
        <v>302511.63999999996</v>
      </c>
      <c r="G105" s="34">
        <f>(G100)+(G104)</f>
        <v>7449.4800000000105</v>
      </c>
      <c r="H105" s="34">
        <f>(F105)-(G105)</f>
        <v>295062.15999999992</v>
      </c>
      <c r="I105" s="35">
        <f>IF(G105=0,"",(F105)/(G105))</f>
        <v>40.60842367520948</v>
      </c>
      <c r="J105" s="34">
        <f>(J100)+(J104)</f>
        <v>17132.860000000011</v>
      </c>
      <c r="K105" s="34">
        <f>(K100)+(K104)</f>
        <v>7449.4800000000105</v>
      </c>
      <c r="L105" s="34">
        <f>(J105)-(K105)</f>
        <v>9683.380000000001</v>
      </c>
      <c r="M105" s="35">
        <f>IF(K105=0,"",(J105)/(K105))</f>
        <v>2.2998732797456989</v>
      </c>
      <c r="N105" s="34">
        <f>(N100)+(N104)</f>
        <v>-17532.7</v>
      </c>
      <c r="O105" s="34">
        <f>(O100)+(O104)</f>
        <v>7449.4800000000105</v>
      </c>
      <c r="P105" s="34">
        <f>(N105)-(O105)</f>
        <v>-24982.180000000011</v>
      </c>
      <c r="Q105" s="35">
        <f>IF(O105=0,"",(N105)/(O105))</f>
        <v>-2.3535468247448112</v>
      </c>
      <c r="R105" s="34">
        <f>(R100)+(R104)</f>
        <v>0</v>
      </c>
      <c r="S105" s="34">
        <f>(S100)+(S104)</f>
        <v>7449.4800000000105</v>
      </c>
      <c r="T105" s="34">
        <f>(R105)-(S105)</f>
        <v>-7449.4800000000105</v>
      </c>
      <c r="U105" s="35">
        <f>IF(S105=0,"",(R105)/(S105))</f>
        <v>0</v>
      </c>
      <c r="V105" s="34">
        <f>(V100)+(V104)</f>
        <v>0</v>
      </c>
      <c r="W105" s="34">
        <f>(W100)+(W104)</f>
        <v>7449.4800000000105</v>
      </c>
      <c r="X105" s="34">
        <f>(V105)-(W105)</f>
        <v>-7449.4800000000105</v>
      </c>
      <c r="Y105" s="35">
        <f>IF(W105=0,"",(V105)/(W105))</f>
        <v>0</v>
      </c>
      <c r="Z105" s="34">
        <f>(Z100)+(Z104)</f>
        <v>0</v>
      </c>
      <c r="AA105" s="34">
        <f>(AA100)+(AA104)</f>
        <v>7449.4800000000105</v>
      </c>
      <c r="AB105" s="34">
        <f>(Z105)-(AA105)</f>
        <v>-7449.4800000000105</v>
      </c>
      <c r="AC105" s="35">
        <f>IF(AA105=0,"",(Z105)/(AA105))</f>
        <v>0</v>
      </c>
      <c r="AD105" s="34">
        <f>(AD100)+(AD104)</f>
        <v>0</v>
      </c>
      <c r="AE105" s="34">
        <f>(AE100)+(AE104)</f>
        <v>7449.4800000000105</v>
      </c>
      <c r="AF105" s="34">
        <f>(AD105)-(AE105)</f>
        <v>-7449.4800000000105</v>
      </c>
      <c r="AG105" s="35">
        <f>IF(AE105=0,"",(AD105)/(AE105))</f>
        <v>0</v>
      </c>
      <c r="AH105" s="34">
        <f>(AH100)+(AH104)</f>
        <v>0</v>
      </c>
      <c r="AI105" s="34">
        <f>(AI100)+(AI104)</f>
        <v>7449.4800000000105</v>
      </c>
      <c r="AJ105" s="34">
        <f>(AH105)-(AI105)</f>
        <v>-7449.4800000000105</v>
      </c>
      <c r="AK105" s="35">
        <f>IF(AI105=0,"",(AH105)/(AI105))</f>
        <v>0</v>
      </c>
      <c r="AL105" s="34">
        <f>(AL100)+(AL104)</f>
        <v>0</v>
      </c>
      <c r="AM105" s="34">
        <f>(AM100)+(AM104)</f>
        <v>7449.4800000000105</v>
      </c>
      <c r="AN105" s="34">
        <f>(AL105)-(AM105)</f>
        <v>-7449.4800000000105</v>
      </c>
      <c r="AO105" s="35">
        <f>IF(AM105=0,"",(AL105)/(AM105))</f>
        <v>0</v>
      </c>
      <c r="AP105" s="34">
        <f>(AP100)+(AP104)</f>
        <v>0</v>
      </c>
      <c r="AQ105" s="34">
        <f>(AQ100)+(AQ104)</f>
        <v>7449.4800000000105</v>
      </c>
      <c r="AR105" s="34">
        <f>(AP105)-(AQ105)</f>
        <v>-7449.4800000000105</v>
      </c>
      <c r="AS105" s="35">
        <f>IF(AQ105=0,"",(AP105)/(AQ105))</f>
        <v>0</v>
      </c>
      <c r="AT105" s="34">
        <f>(AT100)+(AT104)</f>
        <v>0</v>
      </c>
      <c r="AU105" s="34">
        <f>(AU100)+(AU104)</f>
        <v>7449.7200000000157</v>
      </c>
      <c r="AV105" s="34">
        <f>(AT105)-(AU105)</f>
        <v>-7449.7200000000157</v>
      </c>
      <c r="AW105" s="35">
        <f>IF(AU105=0,"",(AT105)/(AU105))</f>
        <v>0</v>
      </c>
      <c r="AX105" s="34">
        <f t="shared" si="82"/>
        <v>241162.46999999994</v>
      </c>
      <c r="AY105" s="34">
        <f t="shared" si="82"/>
        <v>89394.000000000131</v>
      </c>
      <c r="AZ105" s="34">
        <f>(AX105)-(AY105)</f>
        <v>151768.4699999998</v>
      </c>
      <c r="BA105" s="35">
        <f>IF(AY105=0,"",(AX105)/(AY105))</f>
        <v>2.6977478354251918</v>
      </c>
    </row>
    <row r="106" spans="1:53" x14ac:dyDescent="0.3">
      <c r="A106" s="3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</row>
    <row r="109" spans="1:53" x14ac:dyDescent="0.3">
      <c r="A109" s="36" t="s">
        <v>181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</row>
  </sheetData>
  <mergeCells count="17">
    <mergeCell ref="A109:BA109"/>
    <mergeCell ref="AD5:AG5"/>
    <mergeCell ref="AH5:AK5"/>
    <mergeCell ref="AL5:AO5"/>
    <mergeCell ref="AP5:AS5"/>
    <mergeCell ref="AT5:AW5"/>
    <mergeCell ref="AX5:BA5"/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5946-20AF-4AF8-A0EC-7A82660E8E46}">
  <dimension ref="A1:B44"/>
  <sheetViews>
    <sheetView workbookViewId="0">
      <selection activeCell="A6" sqref="A6"/>
    </sheetView>
  </sheetViews>
  <sheetFormatPr defaultColWidth="12.44140625" defaultRowHeight="15.6" x14ac:dyDescent="0.3"/>
  <cols>
    <col min="1" max="1" width="34.109375" style="8" customWidth="1"/>
    <col min="2" max="2" width="16.88671875" style="8" customWidth="1"/>
    <col min="3" max="16384" width="12.44140625" style="3"/>
  </cols>
  <sheetData>
    <row r="1" spans="1:2" x14ac:dyDescent="0.3">
      <c r="A1" s="1" t="s">
        <v>182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183</v>
      </c>
      <c r="B3" s="2"/>
    </row>
    <row r="5" spans="1:2" x14ac:dyDescent="0.3">
      <c r="A5" s="6" t="s">
        <v>3</v>
      </c>
      <c r="B5" s="6" t="s">
        <v>4</v>
      </c>
    </row>
    <row r="6" spans="1:2" x14ac:dyDescent="0.3">
      <c r="A6" s="7" t="s">
        <v>218</v>
      </c>
      <c r="B6" s="12">
        <v>35567.94</v>
      </c>
    </row>
    <row r="7" spans="1:2" x14ac:dyDescent="0.3">
      <c r="A7" s="7" t="s">
        <v>184</v>
      </c>
      <c r="B7" s="12">
        <v>15.76</v>
      </c>
    </row>
    <row r="8" spans="1:2" x14ac:dyDescent="0.3">
      <c r="A8" s="7" t="s">
        <v>185</v>
      </c>
      <c r="B8" s="12">
        <v>309</v>
      </c>
    </row>
    <row r="9" spans="1:2" x14ac:dyDescent="0.3">
      <c r="A9" s="7" t="s">
        <v>186</v>
      </c>
      <c r="B9" s="12">
        <v>213.2</v>
      </c>
    </row>
    <row r="10" spans="1:2" x14ac:dyDescent="0.3">
      <c r="A10" s="7" t="s">
        <v>187</v>
      </c>
      <c r="B10" s="12">
        <v>400</v>
      </c>
    </row>
    <row r="11" spans="1:2" x14ac:dyDescent="0.3">
      <c r="A11" s="7" t="s">
        <v>188</v>
      </c>
      <c r="B11" s="12">
        <v>250</v>
      </c>
    </row>
    <row r="12" spans="1:2" x14ac:dyDescent="0.3">
      <c r="A12" s="7" t="s">
        <v>189</v>
      </c>
      <c r="B12" s="12">
        <v>273.39</v>
      </c>
    </row>
    <row r="13" spans="1:2" x14ac:dyDescent="0.3">
      <c r="A13" s="7" t="s">
        <v>190</v>
      </c>
      <c r="B13" s="12">
        <v>5611.86</v>
      </c>
    </row>
    <row r="14" spans="1:2" x14ac:dyDescent="0.3">
      <c r="A14" s="7" t="s">
        <v>191</v>
      </c>
      <c r="B14" s="12">
        <v>51.54</v>
      </c>
    </row>
    <row r="15" spans="1:2" x14ac:dyDescent="0.3">
      <c r="A15" s="7" t="s">
        <v>192</v>
      </c>
      <c r="B15" s="12">
        <v>1229.8800000000001</v>
      </c>
    </row>
    <row r="16" spans="1:2" x14ac:dyDescent="0.3">
      <c r="A16" s="7" t="s">
        <v>193</v>
      </c>
      <c r="B16" s="12">
        <v>473.75</v>
      </c>
    </row>
    <row r="17" spans="1:2" x14ac:dyDescent="0.3">
      <c r="A17" s="7" t="s">
        <v>194</v>
      </c>
      <c r="B17" s="12">
        <v>215</v>
      </c>
    </row>
    <row r="18" spans="1:2" x14ac:dyDescent="0.3">
      <c r="A18" s="7" t="s">
        <v>195</v>
      </c>
      <c r="B18" s="12">
        <v>124.66</v>
      </c>
    </row>
    <row r="19" spans="1:2" x14ac:dyDescent="0.3">
      <c r="A19" s="7" t="s">
        <v>196</v>
      </c>
      <c r="B19" s="12">
        <v>325</v>
      </c>
    </row>
    <row r="20" spans="1:2" x14ac:dyDescent="0.3">
      <c r="A20" s="7" t="s">
        <v>197</v>
      </c>
      <c r="B20" s="12">
        <v>198</v>
      </c>
    </row>
    <row r="21" spans="1:2" x14ac:dyDescent="0.3">
      <c r="A21" s="7" t="s">
        <v>198</v>
      </c>
      <c r="B21" s="12">
        <v>257.5</v>
      </c>
    </row>
    <row r="22" spans="1:2" x14ac:dyDescent="0.3">
      <c r="A22" s="7" t="s">
        <v>199</v>
      </c>
      <c r="B22" s="12">
        <v>262.29000000000002</v>
      </c>
    </row>
    <row r="23" spans="1:2" x14ac:dyDescent="0.3">
      <c r="A23" s="7" t="s">
        <v>200</v>
      </c>
      <c r="B23" s="12">
        <v>2837.68</v>
      </c>
    </row>
    <row r="24" spans="1:2" x14ac:dyDescent="0.3">
      <c r="A24" s="7" t="s">
        <v>201</v>
      </c>
      <c r="B24" s="12">
        <v>330.1</v>
      </c>
    </row>
    <row r="25" spans="1:2" x14ac:dyDescent="0.3">
      <c r="A25" s="7" t="s">
        <v>202</v>
      </c>
      <c r="B25" s="12">
        <v>223.74</v>
      </c>
    </row>
    <row r="26" spans="1:2" x14ac:dyDescent="0.3">
      <c r="A26" s="7" t="s">
        <v>203</v>
      </c>
      <c r="B26" s="12">
        <v>268.88</v>
      </c>
    </row>
    <row r="27" spans="1:2" x14ac:dyDescent="0.3">
      <c r="A27" s="7" t="s">
        <v>204</v>
      </c>
      <c r="B27" s="12">
        <v>981.39</v>
      </c>
    </row>
    <row r="28" spans="1:2" x14ac:dyDescent="0.3">
      <c r="A28" s="7" t="s">
        <v>205</v>
      </c>
      <c r="B28" s="12">
        <v>1390</v>
      </c>
    </row>
    <row r="29" spans="1:2" x14ac:dyDescent="0.3">
      <c r="A29" s="7" t="s">
        <v>206</v>
      </c>
      <c r="B29" s="12">
        <v>500</v>
      </c>
    </row>
    <row r="30" spans="1:2" x14ac:dyDescent="0.3">
      <c r="A30" s="7" t="s">
        <v>207</v>
      </c>
      <c r="B30" s="12">
        <v>4020.6</v>
      </c>
    </row>
    <row r="31" spans="1:2" x14ac:dyDescent="0.3">
      <c r="A31" s="7" t="s">
        <v>208</v>
      </c>
      <c r="B31" s="12">
        <v>390</v>
      </c>
    </row>
    <row r="32" spans="1:2" x14ac:dyDescent="0.3">
      <c r="A32" s="7" t="s">
        <v>209</v>
      </c>
      <c r="B32" s="12">
        <v>2595</v>
      </c>
    </row>
    <row r="33" spans="1:2" x14ac:dyDescent="0.3">
      <c r="A33" s="7" t="s">
        <v>210</v>
      </c>
      <c r="B33" s="12">
        <v>250</v>
      </c>
    </row>
    <row r="34" spans="1:2" x14ac:dyDescent="0.3">
      <c r="A34" s="7" t="s">
        <v>211</v>
      </c>
      <c r="B34" s="12">
        <v>425</v>
      </c>
    </row>
    <row r="35" spans="1:2" x14ac:dyDescent="0.3">
      <c r="A35" s="7" t="s">
        <v>212</v>
      </c>
      <c r="B35" s="12">
        <v>90</v>
      </c>
    </row>
    <row r="36" spans="1:2" x14ac:dyDescent="0.3">
      <c r="A36" s="7" t="s">
        <v>213</v>
      </c>
      <c r="B36" s="12">
        <v>280.02999999999997</v>
      </c>
    </row>
    <row r="37" spans="1:2" x14ac:dyDescent="0.3">
      <c r="A37" s="7" t="s">
        <v>214</v>
      </c>
      <c r="B37" s="12">
        <v>110.75</v>
      </c>
    </row>
    <row r="38" spans="1:2" x14ac:dyDescent="0.3">
      <c r="A38" s="7" t="s">
        <v>215</v>
      </c>
      <c r="B38" s="12">
        <v>45</v>
      </c>
    </row>
    <row r="39" spans="1:2" x14ac:dyDescent="0.3">
      <c r="A39" s="7" t="s">
        <v>216</v>
      </c>
      <c r="B39" s="12">
        <v>955.49</v>
      </c>
    </row>
    <row r="40" spans="1:2" x14ac:dyDescent="0.3">
      <c r="A40" s="37" t="s">
        <v>217</v>
      </c>
      <c r="B40" s="15">
        <v>61472.429999999993</v>
      </c>
    </row>
    <row r="44" spans="1:2" x14ac:dyDescent="0.3">
      <c r="A44" s="21" t="s">
        <v>66</v>
      </c>
      <c r="B44" s="2"/>
    </row>
  </sheetData>
  <mergeCells count="4">
    <mergeCell ref="A1:B1"/>
    <mergeCell ref="A2:B2"/>
    <mergeCell ref="A3:B3"/>
    <mergeCell ref="A44:B44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890A-3AD9-457A-9E5B-E6D063505C5F}">
  <dimension ref="A1:D24"/>
  <sheetViews>
    <sheetView workbookViewId="0"/>
  </sheetViews>
  <sheetFormatPr defaultRowHeight="14.4" x14ac:dyDescent="0.3"/>
  <cols>
    <col min="1" max="1" width="11.21875" customWidth="1"/>
    <col min="2" max="2" width="36.88671875" customWidth="1"/>
  </cols>
  <sheetData>
    <row r="1" spans="1:4" x14ac:dyDescent="0.3">
      <c r="A1" t="s">
        <v>219</v>
      </c>
      <c r="B1" t="s">
        <v>220</v>
      </c>
      <c r="C1" t="s">
        <v>221</v>
      </c>
    </row>
    <row r="2" spans="1:4" x14ac:dyDescent="0.3">
      <c r="A2" s="38">
        <v>46083</v>
      </c>
      <c r="B2" t="s">
        <v>222</v>
      </c>
      <c r="C2">
        <v>-4.47</v>
      </c>
      <c r="D2" t="s">
        <v>223</v>
      </c>
    </row>
    <row r="3" spans="1:4" x14ac:dyDescent="0.3">
      <c r="A3" s="38">
        <v>46085</v>
      </c>
      <c r="B3" t="s">
        <v>224</v>
      </c>
      <c r="C3">
        <v>-174</v>
      </c>
    </row>
    <row r="4" spans="1:4" x14ac:dyDescent="0.3">
      <c r="A4" s="38">
        <v>46087</v>
      </c>
      <c r="B4" t="s">
        <v>225</v>
      </c>
      <c r="C4">
        <v>-30.9</v>
      </c>
      <c r="D4" t="s">
        <v>226</v>
      </c>
    </row>
    <row r="5" spans="1:4" x14ac:dyDescent="0.3">
      <c r="A5" s="38">
        <v>46087</v>
      </c>
      <c r="B5" t="s">
        <v>227</v>
      </c>
      <c r="C5">
        <v>-50</v>
      </c>
      <c r="D5" t="s">
        <v>226</v>
      </c>
    </row>
    <row r="6" spans="1:4" x14ac:dyDescent="0.3">
      <c r="A6" s="38">
        <v>46090</v>
      </c>
      <c r="B6" t="s">
        <v>228</v>
      </c>
      <c r="C6">
        <v>-51.37</v>
      </c>
      <c r="D6" t="s">
        <v>229</v>
      </c>
    </row>
    <row r="7" spans="1:4" x14ac:dyDescent="0.3">
      <c r="A7" s="38">
        <v>46090</v>
      </c>
      <c r="B7" t="s">
        <v>230</v>
      </c>
      <c r="C7">
        <v>-261.36</v>
      </c>
      <c r="D7" t="s">
        <v>231</v>
      </c>
    </row>
    <row r="8" spans="1:4" x14ac:dyDescent="0.3">
      <c r="A8" s="38">
        <v>46093</v>
      </c>
      <c r="B8" t="s">
        <v>232</v>
      </c>
      <c r="C8">
        <v>-20.59</v>
      </c>
    </row>
    <row r="9" spans="1:4" x14ac:dyDescent="0.3">
      <c r="A9" s="38">
        <v>46094</v>
      </c>
      <c r="B9" t="s">
        <v>233</v>
      </c>
      <c r="C9">
        <v>-13.89</v>
      </c>
      <c r="D9" t="s">
        <v>231</v>
      </c>
    </row>
    <row r="10" spans="1:4" x14ac:dyDescent="0.3">
      <c r="A10" s="38">
        <v>46094</v>
      </c>
      <c r="B10" t="s">
        <v>234</v>
      </c>
      <c r="C10">
        <v>-53.41</v>
      </c>
      <c r="D10" t="s">
        <v>231</v>
      </c>
    </row>
    <row r="11" spans="1:4" x14ac:dyDescent="0.3">
      <c r="A11" s="38">
        <v>46094</v>
      </c>
      <c r="B11" t="s">
        <v>235</v>
      </c>
      <c r="C11">
        <v>-3270</v>
      </c>
      <c r="D11" t="s">
        <v>236</v>
      </c>
    </row>
    <row r="12" spans="1:4" x14ac:dyDescent="0.3">
      <c r="A12" s="38">
        <v>46097</v>
      </c>
      <c r="B12" t="s">
        <v>237</v>
      </c>
      <c r="C12">
        <v>-178.31</v>
      </c>
      <c r="D12" t="s">
        <v>238</v>
      </c>
    </row>
    <row r="13" spans="1:4" x14ac:dyDescent="0.3">
      <c r="A13" s="38">
        <v>46101</v>
      </c>
      <c r="B13" t="s">
        <v>239</v>
      </c>
      <c r="C13">
        <v>4151.32</v>
      </c>
    </row>
    <row r="14" spans="1:4" x14ac:dyDescent="0.3">
      <c r="A14" s="38">
        <v>46101</v>
      </c>
      <c r="B14" t="s">
        <v>240</v>
      </c>
      <c r="C14">
        <v>-531</v>
      </c>
      <c r="D14" t="s">
        <v>241</v>
      </c>
    </row>
    <row r="15" spans="1:4" x14ac:dyDescent="0.3">
      <c r="A15" s="38">
        <v>46101</v>
      </c>
      <c r="B15" t="s">
        <v>242</v>
      </c>
      <c r="C15">
        <v>-25</v>
      </c>
      <c r="D15" t="s">
        <v>243</v>
      </c>
    </row>
    <row r="16" spans="1:4" x14ac:dyDescent="0.3">
      <c r="A16" s="38">
        <v>46101</v>
      </c>
      <c r="B16" t="s">
        <v>244</v>
      </c>
      <c r="C16">
        <v>-75</v>
      </c>
      <c r="D16" t="s">
        <v>245</v>
      </c>
    </row>
    <row r="17" spans="1:4" x14ac:dyDescent="0.3">
      <c r="A17" s="38">
        <v>46104</v>
      </c>
      <c r="B17" t="s">
        <v>246</v>
      </c>
      <c r="C17">
        <v>-100</v>
      </c>
      <c r="D17" t="s">
        <v>247</v>
      </c>
    </row>
    <row r="18" spans="1:4" x14ac:dyDescent="0.3">
      <c r="A18" s="38">
        <v>46104</v>
      </c>
      <c r="B18" t="s">
        <v>248</v>
      </c>
      <c r="C18">
        <v>-29.98</v>
      </c>
      <c r="D18" t="s">
        <v>249</v>
      </c>
    </row>
    <row r="19" spans="1:4" x14ac:dyDescent="0.3">
      <c r="A19" s="38">
        <v>46105</v>
      </c>
      <c r="B19" t="s">
        <v>250</v>
      </c>
      <c r="C19">
        <v>-27.5</v>
      </c>
    </row>
    <row r="20" spans="1:4" x14ac:dyDescent="0.3">
      <c r="A20" s="38">
        <v>46105</v>
      </c>
      <c r="B20" t="s">
        <v>251</v>
      </c>
      <c r="C20">
        <v>-309</v>
      </c>
      <c r="D20" t="s">
        <v>252</v>
      </c>
    </row>
    <row r="21" spans="1:4" x14ac:dyDescent="0.3">
      <c r="A21" s="38">
        <v>46107</v>
      </c>
      <c r="B21" t="s">
        <v>253</v>
      </c>
      <c r="C21">
        <v>-159.99</v>
      </c>
      <c r="D21" t="s">
        <v>254</v>
      </c>
    </row>
    <row r="22" spans="1:4" x14ac:dyDescent="0.3">
      <c r="A22" s="38">
        <v>46111</v>
      </c>
      <c r="B22" t="s">
        <v>224</v>
      </c>
      <c r="C22">
        <v>-115</v>
      </c>
    </row>
    <row r="23" spans="1:4" x14ac:dyDescent="0.3">
      <c r="A23" s="38">
        <v>46111</v>
      </c>
      <c r="B23" t="s">
        <v>222</v>
      </c>
      <c r="C23">
        <v>-20.07</v>
      </c>
      <c r="D23" t="s">
        <v>255</v>
      </c>
    </row>
    <row r="24" spans="1:4" x14ac:dyDescent="0.3">
      <c r="A24" s="38">
        <v>46111</v>
      </c>
      <c r="B24" t="s">
        <v>256</v>
      </c>
      <c r="C24">
        <v>-68</v>
      </c>
      <c r="D24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2E964-6FC0-42EB-B61E-32E8BA75D324}">
  <dimension ref="A1:B70"/>
  <sheetViews>
    <sheetView workbookViewId="0">
      <selection sqref="A1:B1"/>
    </sheetView>
  </sheetViews>
  <sheetFormatPr defaultColWidth="12.44140625" defaultRowHeight="15.6" x14ac:dyDescent="0.3"/>
  <cols>
    <col min="1" max="1" width="35.109375" style="8" customWidth="1"/>
    <col min="2" max="2" width="17.88671875" style="8" customWidth="1"/>
    <col min="3" max="16384" width="12.44140625" style="3"/>
  </cols>
  <sheetData>
    <row r="1" spans="1:2" x14ac:dyDescent="0.3">
      <c r="A1" s="1" t="s">
        <v>0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2</v>
      </c>
      <c r="B3" s="2"/>
    </row>
    <row r="5" spans="1:2" x14ac:dyDescent="0.3">
      <c r="A5" s="6" t="s">
        <v>3</v>
      </c>
      <c r="B5" s="6" t="s">
        <v>4</v>
      </c>
    </row>
    <row r="6" spans="1:2" x14ac:dyDescent="0.3">
      <c r="A6" s="7" t="s">
        <v>5</v>
      </c>
    </row>
    <row r="7" spans="1:2" x14ac:dyDescent="0.3">
      <c r="A7" s="9" t="s">
        <v>6</v>
      </c>
    </row>
    <row r="8" spans="1:2" x14ac:dyDescent="0.3">
      <c r="A8" s="10" t="s">
        <v>7</v>
      </c>
    </row>
    <row r="9" spans="1:2" x14ac:dyDescent="0.3">
      <c r="A9" s="11" t="s">
        <v>8</v>
      </c>
      <c r="B9" s="12">
        <v>1015093.11</v>
      </c>
    </row>
    <row r="10" spans="1:2" x14ac:dyDescent="0.3">
      <c r="A10" s="11" t="s">
        <v>9</v>
      </c>
      <c r="B10" s="12">
        <v>209003.97</v>
      </c>
    </row>
    <row r="11" spans="1:2" x14ac:dyDescent="0.3">
      <c r="A11" s="11" t="s">
        <v>10</v>
      </c>
      <c r="B11" s="12">
        <v>244562.81</v>
      </c>
    </row>
    <row r="12" spans="1:2" x14ac:dyDescent="0.3">
      <c r="A12" s="13" t="s">
        <v>11</v>
      </c>
      <c r="B12" s="12">
        <v>0</v>
      </c>
    </row>
    <row r="13" spans="1:2" x14ac:dyDescent="0.3">
      <c r="A13" s="14" t="s">
        <v>12</v>
      </c>
      <c r="B13" s="15">
        <f>B11+B12</f>
        <v>244562.81</v>
      </c>
    </row>
    <row r="14" spans="1:2" x14ac:dyDescent="0.3">
      <c r="A14" s="11" t="s">
        <v>13</v>
      </c>
      <c r="B14" s="12">
        <v>140</v>
      </c>
    </row>
    <row r="15" spans="1:2" x14ac:dyDescent="0.3">
      <c r="A15" s="16" t="s">
        <v>14</v>
      </c>
      <c r="B15" s="15">
        <f>B8+B9+B10+B13+B14</f>
        <v>1468799.8900000001</v>
      </c>
    </row>
    <row r="16" spans="1:2" x14ac:dyDescent="0.3">
      <c r="A16" s="10" t="s">
        <v>15</v>
      </c>
    </row>
    <row r="17" spans="1:2" x14ac:dyDescent="0.3">
      <c r="A17" s="11" t="s">
        <v>16</v>
      </c>
      <c r="B17" s="12">
        <v>932698</v>
      </c>
    </row>
    <row r="18" spans="1:2" x14ac:dyDescent="0.3">
      <c r="A18" s="16" t="s">
        <v>17</v>
      </c>
      <c r="B18" s="15">
        <f>B16+B17</f>
        <v>932698</v>
      </c>
    </row>
    <row r="19" spans="1:2" x14ac:dyDescent="0.3">
      <c r="A19" s="10" t="s">
        <v>18</v>
      </c>
    </row>
    <row r="20" spans="1:2" x14ac:dyDescent="0.3">
      <c r="A20" s="11" t="s">
        <v>19</v>
      </c>
      <c r="B20" s="12">
        <v>0</v>
      </c>
    </row>
    <row r="21" spans="1:2" x14ac:dyDescent="0.3">
      <c r="A21" s="11" t="s">
        <v>20</v>
      </c>
      <c r="B21" s="12">
        <v>0</v>
      </c>
    </row>
    <row r="22" spans="1:2" x14ac:dyDescent="0.3">
      <c r="A22" s="11" t="s">
        <v>21</v>
      </c>
      <c r="B22" s="12">
        <v>13518.6</v>
      </c>
    </row>
    <row r="23" spans="1:2" x14ac:dyDescent="0.3">
      <c r="A23" s="11" t="s">
        <v>22</v>
      </c>
      <c r="B23" s="12">
        <v>0</v>
      </c>
    </row>
    <row r="24" spans="1:2" x14ac:dyDescent="0.3">
      <c r="A24" s="16" t="s">
        <v>23</v>
      </c>
      <c r="B24" s="15">
        <f>B19+B20+B21+B22+B23</f>
        <v>13518.6</v>
      </c>
    </row>
    <row r="25" spans="1:2" x14ac:dyDescent="0.3">
      <c r="A25" s="17" t="s">
        <v>24</v>
      </c>
      <c r="B25" s="15">
        <f>B7+B15+B18+B24</f>
        <v>2415016.4900000002</v>
      </c>
    </row>
    <row r="26" spans="1:2" x14ac:dyDescent="0.3">
      <c r="A26" s="9" t="s">
        <v>25</v>
      </c>
    </row>
    <row r="27" spans="1:2" x14ac:dyDescent="0.3">
      <c r="A27" s="10" t="s">
        <v>26</v>
      </c>
      <c r="B27" s="12">
        <v>0</v>
      </c>
    </row>
    <row r="28" spans="1:2" x14ac:dyDescent="0.3">
      <c r="A28" s="10" t="s">
        <v>27</v>
      </c>
      <c r="B28" s="12">
        <v>0</v>
      </c>
    </row>
    <row r="29" spans="1:2" x14ac:dyDescent="0.3">
      <c r="A29" s="17" t="s">
        <v>28</v>
      </c>
      <c r="B29" s="15">
        <f>B26+B27+B28</f>
        <v>0</v>
      </c>
    </row>
    <row r="30" spans="1:2" x14ac:dyDescent="0.3">
      <c r="A30" s="9" t="s">
        <v>29</v>
      </c>
    </row>
    <row r="31" spans="1:2" x14ac:dyDescent="0.3">
      <c r="A31" s="10" t="s">
        <v>30</v>
      </c>
      <c r="B31" s="12">
        <v>0</v>
      </c>
    </row>
    <row r="32" spans="1:2" x14ac:dyDescent="0.3">
      <c r="A32" s="17" t="s">
        <v>31</v>
      </c>
      <c r="B32" s="15">
        <f>B30+B31</f>
        <v>0</v>
      </c>
    </row>
    <row r="33" spans="1:2" x14ac:dyDescent="0.3">
      <c r="A33" s="18" t="s">
        <v>32</v>
      </c>
      <c r="B33" s="15">
        <f>B25+B29+B32</f>
        <v>2415016.4900000002</v>
      </c>
    </row>
    <row r="34" spans="1:2" x14ac:dyDescent="0.3">
      <c r="A34" s="7" t="s">
        <v>33</v>
      </c>
    </row>
    <row r="35" spans="1:2" x14ac:dyDescent="0.3">
      <c r="A35" s="9" t="s">
        <v>34</v>
      </c>
    </row>
    <row r="36" spans="1:2" x14ac:dyDescent="0.3">
      <c r="A36" s="10" t="s">
        <v>35</v>
      </c>
    </row>
    <row r="37" spans="1:2" x14ac:dyDescent="0.3">
      <c r="A37" s="11" t="s">
        <v>36</v>
      </c>
    </row>
    <row r="38" spans="1:2" x14ac:dyDescent="0.3">
      <c r="A38" s="13" t="s">
        <v>37</v>
      </c>
      <c r="B38" s="12">
        <v>1044.43</v>
      </c>
    </row>
    <row r="39" spans="1:2" x14ac:dyDescent="0.3">
      <c r="A39" s="14" t="s">
        <v>38</v>
      </c>
      <c r="B39" s="15">
        <f>B37+B38</f>
        <v>1044.43</v>
      </c>
    </row>
    <row r="40" spans="1:2" x14ac:dyDescent="0.3">
      <c r="A40" s="11" t="s">
        <v>39</v>
      </c>
    </row>
    <row r="41" spans="1:2" x14ac:dyDescent="0.3">
      <c r="A41" s="13" t="s">
        <v>40</v>
      </c>
      <c r="B41" s="12">
        <v>37.64</v>
      </c>
    </row>
    <row r="42" spans="1:2" x14ac:dyDescent="0.3">
      <c r="A42" s="19" t="s">
        <v>41</v>
      </c>
      <c r="B42" s="12">
        <v>236</v>
      </c>
    </row>
    <row r="43" spans="1:2" x14ac:dyDescent="0.3">
      <c r="A43" s="19" t="s">
        <v>42</v>
      </c>
      <c r="B43" s="12">
        <v>-734.94</v>
      </c>
    </row>
    <row r="44" spans="1:2" x14ac:dyDescent="0.3">
      <c r="A44" s="19" t="s">
        <v>43</v>
      </c>
      <c r="B44" s="12">
        <v>1481.65</v>
      </c>
    </row>
    <row r="45" spans="1:2" x14ac:dyDescent="0.3">
      <c r="A45" s="19" t="s">
        <v>44</v>
      </c>
      <c r="B45" s="12">
        <v>39.159999999999997</v>
      </c>
    </row>
    <row r="46" spans="1:2" x14ac:dyDescent="0.3">
      <c r="A46" s="20" t="s">
        <v>45</v>
      </c>
      <c r="B46" s="15">
        <f>B41+B42+B43+B44+B45</f>
        <v>1059.51</v>
      </c>
    </row>
    <row r="47" spans="1:2" x14ac:dyDescent="0.3">
      <c r="A47" s="13" t="s">
        <v>46</v>
      </c>
      <c r="B47" s="12">
        <v>-466.28</v>
      </c>
    </row>
    <row r="48" spans="1:2" x14ac:dyDescent="0.3">
      <c r="A48" s="13" t="s">
        <v>47</v>
      </c>
      <c r="B48" s="12">
        <v>932698</v>
      </c>
    </row>
    <row r="49" spans="1:2" x14ac:dyDescent="0.3">
      <c r="A49" s="13" t="s">
        <v>48</v>
      </c>
      <c r="B49" s="12">
        <v>0</v>
      </c>
    </row>
    <row r="50" spans="1:2" x14ac:dyDescent="0.3">
      <c r="A50" s="14" t="s">
        <v>49</v>
      </c>
      <c r="B50" s="15">
        <f>B40+B46+B47+B48+B49</f>
        <v>933291.23</v>
      </c>
    </row>
    <row r="51" spans="1:2" x14ac:dyDescent="0.3">
      <c r="A51" s="16" t="s">
        <v>50</v>
      </c>
      <c r="B51" s="15">
        <f>B36+B39+B50</f>
        <v>934335.66</v>
      </c>
    </row>
    <row r="52" spans="1:2" x14ac:dyDescent="0.3">
      <c r="A52" s="10" t="s">
        <v>51</v>
      </c>
    </row>
    <row r="53" spans="1:2" x14ac:dyDescent="0.3">
      <c r="A53" s="11" t="s">
        <v>52</v>
      </c>
      <c r="B53" s="12">
        <v>0</v>
      </c>
    </row>
    <row r="54" spans="1:2" x14ac:dyDescent="0.3">
      <c r="A54" s="16" t="s">
        <v>53</v>
      </c>
      <c r="B54" s="15">
        <f>B52+B53</f>
        <v>0</v>
      </c>
    </row>
    <row r="55" spans="1:2" x14ac:dyDescent="0.3">
      <c r="A55" s="17" t="s">
        <v>54</v>
      </c>
      <c r="B55" s="15">
        <f>B35+B51+B54</f>
        <v>934335.66</v>
      </c>
    </row>
    <row r="56" spans="1:2" x14ac:dyDescent="0.3">
      <c r="A56" s="9" t="s">
        <v>55</v>
      </c>
    </row>
    <row r="57" spans="1:2" x14ac:dyDescent="0.3">
      <c r="A57" s="10" t="s">
        <v>56</v>
      </c>
      <c r="B57" s="12">
        <v>0</v>
      </c>
    </row>
    <row r="58" spans="1:2" x14ac:dyDescent="0.3">
      <c r="A58" s="10" t="s">
        <v>57</v>
      </c>
      <c r="B58" s="12">
        <v>0</v>
      </c>
    </row>
    <row r="59" spans="1:2" x14ac:dyDescent="0.3">
      <c r="A59" s="10" t="s">
        <v>58</v>
      </c>
      <c r="B59" s="12">
        <v>13107.9</v>
      </c>
    </row>
    <row r="60" spans="1:2" x14ac:dyDescent="0.3">
      <c r="A60" s="10" t="s">
        <v>59</v>
      </c>
      <c r="B60" s="12">
        <v>12806.56</v>
      </c>
    </row>
    <row r="61" spans="1:2" x14ac:dyDescent="0.3">
      <c r="A61" s="10" t="s">
        <v>60</v>
      </c>
      <c r="B61" s="12">
        <v>0</v>
      </c>
    </row>
    <row r="62" spans="1:2" x14ac:dyDescent="0.3">
      <c r="A62" s="10" t="s">
        <v>61</v>
      </c>
      <c r="B62" s="12">
        <v>30000</v>
      </c>
    </row>
    <row r="63" spans="1:2" x14ac:dyDescent="0.3">
      <c r="A63" s="10" t="s">
        <v>62</v>
      </c>
      <c r="B63" s="12">
        <v>1166071.1999999967</v>
      </c>
    </row>
    <row r="64" spans="1:2" x14ac:dyDescent="0.3">
      <c r="A64" s="10" t="s">
        <v>63</v>
      </c>
      <c r="B64" s="12">
        <v>258695.17000000013</v>
      </c>
    </row>
    <row r="65" spans="1:2" x14ac:dyDescent="0.3">
      <c r="A65" s="17" t="s">
        <v>64</v>
      </c>
      <c r="B65" s="15">
        <f>B56+B57+B58+B59+B60+B61+B62+B63+B64</f>
        <v>1480680.8299999968</v>
      </c>
    </row>
    <row r="66" spans="1:2" x14ac:dyDescent="0.3">
      <c r="A66" s="18" t="s">
        <v>65</v>
      </c>
      <c r="B66" s="15">
        <f>B55+B65</f>
        <v>2415016.489999997</v>
      </c>
    </row>
    <row r="70" spans="1:2" x14ac:dyDescent="0.3">
      <c r="A70" s="21" t="s">
        <v>66</v>
      </c>
      <c r="B70" s="2"/>
    </row>
  </sheetData>
  <mergeCells count="4">
    <mergeCell ref="A1:B1"/>
    <mergeCell ref="A2:B2"/>
    <mergeCell ref="A3:B3"/>
    <mergeCell ref="A70:B7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AF2A-6286-4F38-8EC3-BB09D5386E9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 Statistics</vt:lpstr>
      <vt:lpstr>Balance Sheet, March</vt:lpstr>
      <vt:lpstr>Profit and Loss, March</vt:lpstr>
      <vt:lpstr>Expenses by Vendor, March</vt:lpstr>
      <vt:lpstr>Credit Card March 2026</vt:lpstr>
      <vt:lpstr>Balance Sheet, QB Version,March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</dc:creator>
  <cp:lastModifiedBy>Amie</cp:lastModifiedBy>
  <dcterms:created xsi:type="dcterms:W3CDTF">2026-05-05T17:01:03Z</dcterms:created>
  <dcterms:modified xsi:type="dcterms:W3CDTF">2026-05-05T17:15:15Z</dcterms:modified>
</cp:coreProperties>
</file>